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2.xml" ContentType="application/vnd.openxmlformats-officedocument.drawing+xml"/>
  <Override PartName="/xl/comments11.xml" ContentType="application/vnd.openxmlformats-officedocument.spreadsheetml.comments+xml"/>
  <Override PartName="/xl/drawings/drawing3.xml" ContentType="application/vnd.openxmlformats-officedocument.drawing+xml"/>
  <Override PartName="/xl/comments1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ml.chartshapes+xml"/>
  <Override PartName="/xl/charts/chart15.xml" ContentType="application/vnd.openxmlformats-officedocument.drawingml.chart+xml"/>
  <Override PartName="/xl/drawings/drawing5.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ml.chartshapes+xml"/>
  <Override PartName="/xl/charts/chart19.xml" ContentType="application/vnd.openxmlformats-officedocument.drawingml.chart+xml"/>
  <Override PartName="/xl/drawings/drawing7.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8.xml" ContentType="application/vnd.openxmlformats-officedocument.drawingml.chartshapes+xml"/>
  <Override PartName="/xl/charts/chart22.xml" ContentType="application/vnd.openxmlformats-officedocument.drawingml.chart+xml"/>
  <Override PartName="/xl/drawings/drawing9.xml" ContentType="application/vnd.openxmlformats-officedocument.drawingml.chartshapes+xml"/>
  <Override PartName="/xl/charts/chart23.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ml.chartshapes+xml"/>
  <Override PartName="/xl/charts/chart25.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I:\Felles\Prosjekt\2016_Kostnadsrapport\Fase3\Regneark - MÅ IKKE FLYTTES\"/>
    </mc:Choice>
  </mc:AlternateContent>
  <bookViews>
    <workbookView xWindow="7530" yWindow="-15" windowWidth="11670" windowHeight="7410" tabRatio="840" firstSheet="8" activeTab="16"/>
  </bookViews>
  <sheets>
    <sheet name="INNHOLD" sheetId="23" r:id="rId1"/>
    <sheet name="1 Gjennomsnittsbygg" sheetId="11" r:id="rId2"/>
    <sheet name="2 Bygningsmodeller" sheetId="10" r:id="rId3"/>
    <sheet name="3 Byggeår" sheetId="9" r:id="rId4"/>
    <sheet name="4 Bruk" sheetId="16" r:id="rId5"/>
    <sheet name="5 Klima" sheetId="15" r:id="rId6"/>
    <sheet name="6 Oversikt startpunkt" sheetId="14" r:id="rId7"/>
    <sheet name="7 Passivhusnivå" sheetId="13" r:id="rId8"/>
    <sheet name="8 Lav energibesparelse" sheetId="20" r:id="rId9"/>
    <sheet name="10 Høy energibesparelse" sheetId="22" r:id="rId10"/>
    <sheet name="9 Median energibesparelse" sheetId="21" r:id="rId11"/>
    <sheet name="11 Kostnader Bygg" sheetId="4" r:id="rId12"/>
    <sheet name="12 Kostnader VVS" sheetId="26" r:id="rId13"/>
    <sheet name="13 Kostnader Elektro" sheetId="25" r:id="rId14"/>
    <sheet name="14 Kostnader Automasjon" sheetId="27" r:id="rId15"/>
    <sheet name="15 Levetider og rente" sheetId="17" r:id="rId16"/>
    <sheet name="16 LCOE" sheetId="24" r:id="rId17"/>
    <sheet name="VBV" sheetId="29" r:id="rId18"/>
    <sheet name="Samlefigur" sheetId="28" r:id="rId19"/>
  </sheets>
  <definedNames>
    <definedName name="_xlnm.Print_Area" localSheetId="11">'11 Kostnader Bygg'!$E$1:$M$308</definedName>
    <definedName name="_xlnm.Print_Titles" localSheetId="11">'11 Kostnader Bygg'!$75:$76</definedName>
  </definedNames>
  <calcPr calcId="152511"/>
</workbook>
</file>

<file path=xl/calcChain.xml><?xml version="1.0" encoding="utf-8"?>
<calcChain xmlns="http://schemas.openxmlformats.org/spreadsheetml/2006/main">
  <c r="E318" i="24" l="1"/>
  <c r="F318" i="24"/>
  <c r="D318" i="24"/>
  <c r="E314" i="24"/>
  <c r="F314" i="24"/>
  <c r="D314" i="24"/>
  <c r="E310" i="24"/>
  <c r="F310" i="24"/>
  <c r="D310" i="24"/>
  <c r="E306" i="24"/>
  <c r="F306" i="24"/>
  <c r="D306" i="24"/>
  <c r="E302" i="24"/>
  <c r="F302" i="24"/>
  <c r="D302" i="24"/>
  <c r="E298" i="24"/>
  <c r="F298" i="24"/>
  <c r="D298" i="24"/>
  <c r="E294" i="24"/>
  <c r="F294" i="24"/>
  <c r="D294" i="24"/>
  <c r="E290" i="24"/>
  <c r="F290" i="24"/>
  <c r="D290" i="24"/>
  <c r="F291" i="24"/>
  <c r="E291" i="24"/>
  <c r="D291" i="24"/>
  <c r="E286" i="24"/>
  <c r="F286" i="24"/>
  <c r="D286" i="24"/>
  <c r="N46" i="27" l="1"/>
  <c r="N45" i="27"/>
  <c r="N44" i="27"/>
  <c r="N43" i="27"/>
  <c r="N42" i="27"/>
  <c r="N41" i="27"/>
  <c r="N40" i="27"/>
  <c r="N39" i="27"/>
  <c r="N38" i="27"/>
  <c r="N37" i="27"/>
  <c r="M46" i="27"/>
  <c r="M45" i="27"/>
  <c r="M44" i="27"/>
  <c r="M43" i="27"/>
  <c r="M42" i="27"/>
  <c r="M41" i="27"/>
  <c r="M40" i="27"/>
  <c r="M39" i="27"/>
  <c r="M38" i="27"/>
  <c r="M37" i="27"/>
  <c r="L46" i="27"/>
  <c r="L45" i="27"/>
  <c r="L44" i="27"/>
  <c r="L43" i="27"/>
  <c r="L42" i="27"/>
  <c r="L41" i="27"/>
  <c r="L40" i="27"/>
  <c r="L39" i="27"/>
  <c r="L38" i="27"/>
  <c r="L37" i="27"/>
  <c r="K46" i="27"/>
  <c r="K45" i="27"/>
  <c r="K44" i="27"/>
  <c r="K43" i="27"/>
  <c r="K42" i="27"/>
  <c r="K41" i="27"/>
  <c r="K40" i="27"/>
  <c r="K39" i="27"/>
  <c r="K38" i="27"/>
  <c r="K37" i="27"/>
  <c r="K36" i="27"/>
  <c r="K35" i="27"/>
  <c r="J36" i="27"/>
  <c r="I45" i="27"/>
  <c r="I44" i="27"/>
  <c r="I43" i="27"/>
  <c r="I42" i="27"/>
  <c r="I41" i="27"/>
  <c r="I40" i="27"/>
  <c r="I39" i="27"/>
  <c r="I38" i="27"/>
  <c r="I37" i="27"/>
  <c r="I36" i="27"/>
  <c r="I46" i="27"/>
  <c r="H46" i="27"/>
  <c r="H45" i="27"/>
  <c r="H43" i="27"/>
  <c r="H41" i="27"/>
  <c r="H40" i="27"/>
  <c r="H38" i="27"/>
  <c r="F46" i="27"/>
  <c r="F45" i="27"/>
  <c r="F43" i="27"/>
  <c r="F41" i="27"/>
  <c r="F40" i="27"/>
  <c r="F38" i="27"/>
  <c r="D46" i="27"/>
  <c r="D45" i="27"/>
  <c r="D44" i="27"/>
  <c r="D43" i="27"/>
  <c r="E46" i="27"/>
  <c r="E45" i="27"/>
  <c r="E44" i="27"/>
  <c r="E43" i="27"/>
  <c r="E42" i="27"/>
  <c r="E41" i="27"/>
  <c r="E40" i="27"/>
  <c r="E39" i="27"/>
  <c r="E38" i="27"/>
  <c r="E37" i="27"/>
  <c r="E36" i="27"/>
  <c r="E35" i="27"/>
  <c r="D42" i="27"/>
  <c r="D41" i="27"/>
  <c r="D40" i="27"/>
  <c r="D39" i="27"/>
  <c r="D38" i="27"/>
  <c r="D37" i="27"/>
  <c r="D36" i="27"/>
  <c r="C46" i="27"/>
  <c r="C45" i="27"/>
  <c r="C44" i="27"/>
  <c r="C43" i="27"/>
  <c r="C42" i="27"/>
  <c r="C41" i="27"/>
  <c r="C40" i="27"/>
  <c r="C39" i="27"/>
  <c r="C37" i="27"/>
  <c r="D35" i="27" l="1"/>
  <c r="C38" i="27"/>
  <c r="C36" i="27"/>
  <c r="C35" i="27"/>
  <c r="E34" i="25"/>
  <c r="E33" i="25"/>
  <c r="E32" i="25"/>
  <c r="E31" i="25"/>
  <c r="E30" i="25"/>
  <c r="E29" i="25"/>
  <c r="E28" i="25"/>
  <c r="E27" i="25"/>
  <c r="E26" i="25"/>
  <c r="E25" i="25"/>
  <c r="D34" i="25"/>
  <c r="D33" i="25"/>
  <c r="D32" i="25"/>
  <c r="D31" i="25"/>
  <c r="D30" i="25"/>
  <c r="D29" i="25"/>
  <c r="D28" i="25"/>
  <c r="D27" i="25"/>
  <c r="D26" i="25"/>
  <c r="D25" i="25"/>
  <c r="C34" i="25"/>
  <c r="C33" i="25"/>
  <c r="C32" i="25"/>
  <c r="C31" i="25"/>
  <c r="C30" i="25"/>
  <c r="C29" i="25"/>
  <c r="C28" i="25"/>
  <c r="C27" i="25"/>
  <c r="C26" i="25"/>
  <c r="C25" i="25"/>
  <c r="H26" i="25"/>
  <c r="G26" i="25"/>
  <c r="F26" i="25"/>
  <c r="K53" i="26"/>
  <c r="I53" i="26"/>
  <c r="K52" i="26"/>
  <c r="I52" i="26"/>
  <c r="I42" i="26"/>
  <c r="H42" i="26" l="1"/>
  <c r="G42" i="26"/>
  <c r="F42" i="26"/>
  <c r="E42" i="26"/>
  <c r="D42" i="26"/>
  <c r="C42" i="26"/>
  <c r="C40" i="26"/>
  <c r="E39" i="26"/>
  <c r="C39" i="26"/>
  <c r="D4" i="29" l="1"/>
  <c r="D13" i="29" s="1"/>
  <c r="E14" i="29"/>
  <c r="E4" i="29"/>
  <c r="E13" i="29" s="1"/>
  <c r="D14" i="29"/>
  <c r="D8" i="29"/>
  <c r="D9" i="29" s="1"/>
  <c r="E8" i="29"/>
  <c r="E9" i="29" s="1"/>
  <c r="R45" i="28" l="1"/>
  <c r="R43" i="28"/>
  <c r="R40" i="28"/>
  <c r="R38" i="28"/>
  <c r="R37" i="28"/>
  <c r="Q37" i="28"/>
  <c r="P37" i="28"/>
  <c r="O37" i="28"/>
  <c r="N37" i="28"/>
  <c r="M37" i="28"/>
  <c r="R36" i="28"/>
  <c r="Q36" i="28"/>
  <c r="P36" i="28"/>
  <c r="O36" i="28"/>
  <c r="N36" i="28"/>
  <c r="M36" i="28"/>
  <c r="R15" i="28"/>
  <c r="R13" i="28"/>
  <c r="R10" i="28"/>
  <c r="R8" i="28"/>
  <c r="R7" i="28"/>
  <c r="Q7" i="28"/>
  <c r="P7" i="28"/>
  <c r="O7" i="28"/>
  <c r="N7" i="28"/>
  <c r="M7" i="28"/>
  <c r="R6" i="28"/>
  <c r="Q6" i="28"/>
  <c r="P6" i="28"/>
  <c r="O6" i="28"/>
  <c r="N6" i="28"/>
  <c r="M6" i="28"/>
  <c r="R30" i="28"/>
  <c r="R28" i="28"/>
  <c r="R25" i="28"/>
  <c r="R23" i="28"/>
  <c r="R22" i="28"/>
  <c r="Q22" i="28"/>
  <c r="P22" i="28"/>
  <c r="O22" i="28"/>
  <c r="N22" i="28"/>
  <c r="M22" i="28"/>
  <c r="R21" i="28"/>
  <c r="Q21" i="28"/>
  <c r="P21" i="28"/>
  <c r="O21" i="28"/>
  <c r="N21" i="28"/>
  <c r="M21" i="28"/>
  <c r="K213" i="24" l="1"/>
  <c r="J37" i="27" l="1"/>
  <c r="N223" i="24" l="1"/>
  <c r="N224" i="24"/>
  <c r="N225" i="24"/>
  <c r="N226" i="24"/>
  <c r="N227" i="24"/>
  <c r="N228" i="24"/>
  <c r="K223" i="24"/>
  <c r="K224" i="24"/>
  <c r="K225" i="24"/>
  <c r="K226" i="24"/>
  <c r="K227" i="24"/>
  <c r="K228" i="24"/>
  <c r="P335" i="20" l="1"/>
  <c r="P337" i="20" s="1"/>
  <c r="D45" i="25" l="1"/>
  <c r="M45" i="25" s="1"/>
  <c r="D44" i="25"/>
  <c r="M44" i="25" s="1"/>
  <c r="D43" i="25"/>
  <c r="D40" i="25"/>
  <c r="D39" i="25"/>
  <c r="D42" i="25" s="1"/>
  <c r="S278" i="21"/>
  <c r="V262" i="20"/>
  <c r="U262" i="20"/>
  <c r="R262" i="20"/>
  <c r="Q262" i="20"/>
  <c r="L262" i="20"/>
  <c r="K262" i="20"/>
  <c r="H262" i="20"/>
  <c r="G262" i="20"/>
  <c r="V262" i="22"/>
  <c r="U262" i="22"/>
  <c r="R262" i="22"/>
  <c r="K176" i="24" s="1"/>
  <c r="Q262" i="22"/>
  <c r="L262" i="22"/>
  <c r="K262" i="22"/>
  <c r="H262" i="22"/>
  <c r="G262" i="22"/>
  <c r="H44" i="25" l="1"/>
  <c r="Q44" i="25" s="1"/>
  <c r="Q46" i="25" s="1"/>
  <c r="Q47" i="25" s="1"/>
  <c r="Q48" i="25" s="1"/>
  <c r="H45" i="25"/>
  <c r="Q45" i="25" s="1"/>
  <c r="G25" i="25"/>
  <c r="G29" i="25"/>
  <c r="H25" i="25"/>
  <c r="F25" i="25"/>
  <c r="O202" i="24" l="1"/>
  <c r="I201" i="24"/>
  <c r="I181" i="24"/>
  <c r="G183" i="24"/>
  <c r="H182" i="24"/>
  <c r="F183" i="24"/>
  <c r="F181" i="24"/>
  <c r="M201" i="24"/>
  <c r="M182" i="24"/>
  <c r="N202" i="24"/>
  <c r="H201" i="24"/>
  <c r="J181" i="24"/>
  <c r="H183" i="24"/>
  <c r="L200" i="24"/>
  <c r="H200" i="24"/>
  <c r="G200" i="24"/>
  <c r="M202" i="24"/>
  <c r="G201" i="24"/>
  <c r="K181" i="24"/>
  <c r="I183" i="24"/>
  <c r="H202" i="24"/>
  <c r="N201" i="24"/>
  <c r="L202" i="24"/>
  <c r="F201" i="24"/>
  <c r="L181" i="24"/>
  <c r="J183" i="24"/>
  <c r="G182" i="24"/>
  <c r="K200" i="24"/>
  <c r="K182" i="24"/>
  <c r="K202" i="24"/>
  <c r="O200" i="24"/>
  <c r="M181" i="24"/>
  <c r="K183" i="24"/>
  <c r="O183" i="24"/>
  <c r="L201" i="24"/>
  <c r="J202" i="24"/>
  <c r="N200" i="24"/>
  <c r="N181" i="24"/>
  <c r="L183" i="24"/>
  <c r="N183" i="24"/>
  <c r="G202" i="24"/>
  <c r="J182" i="24"/>
  <c r="F200" i="24"/>
  <c r="I202" i="24"/>
  <c r="M200" i="24"/>
  <c r="O181" i="24"/>
  <c r="M183" i="24"/>
  <c r="I200" i="24"/>
  <c r="F202" i="24"/>
  <c r="J200" i="24"/>
  <c r="I182" i="24"/>
  <c r="F182" i="24"/>
  <c r="O201" i="24"/>
  <c r="L182" i="24"/>
  <c r="K201" i="24"/>
  <c r="G181" i="24"/>
  <c r="N182" i="24"/>
  <c r="J201" i="24"/>
  <c r="H181" i="24"/>
  <c r="O182" i="24"/>
  <c r="I44" i="26"/>
  <c r="J44" i="26" s="1"/>
  <c r="K44" i="26" s="1"/>
  <c r="I41" i="26"/>
  <c r="J41" i="26" s="1"/>
  <c r="K41" i="26" s="1"/>
  <c r="J42" i="26"/>
  <c r="K42" i="26" s="1"/>
  <c r="Q50" i="26"/>
  <c r="I50" i="26" s="1"/>
  <c r="J50" i="26" s="1"/>
  <c r="K50" i="26" s="1"/>
  <c r="Q49" i="26"/>
  <c r="I49" i="26" s="1"/>
  <c r="J49" i="26" s="1"/>
  <c r="K49" i="26" s="1"/>
  <c r="Q48" i="26"/>
  <c r="I48" i="26" s="1"/>
  <c r="J48" i="26" s="1"/>
  <c r="K48" i="26" s="1"/>
  <c r="Q47" i="26"/>
  <c r="I47" i="26" s="1"/>
  <c r="J47" i="26" s="1"/>
  <c r="K47" i="26" s="1"/>
  <c r="Q46" i="26"/>
  <c r="I46" i="26" s="1"/>
  <c r="J46" i="26" s="1"/>
  <c r="K46" i="26" s="1"/>
  <c r="Q45" i="26"/>
  <c r="I45" i="26" s="1"/>
  <c r="J45" i="26" s="1"/>
  <c r="K45" i="26" s="1"/>
  <c r="Q44" i="26"/>
  <c r="Q43" i="26"/>
  <c r="I43" i="26" s="1"/>
  <c r="J43" i="26" s="1"/>
  <c r="K43" i="26" s="1"/>
  <c r="Q42" i="26"/>
  <c r="Q41" i="26"/>
  <c r="G192" i="22"/>
  <c r="H50" i="26"/>
  <c r="G50" i="26"/>
  <c r="F50" i="26"/>
  <c r="H49" i="26"/>
  <c r="G49" i="26"/>
  <c r="F49" i="26"/>
  <c r="H48" i="26"/>
  <c r="G48" i="26"/>
  <c r="F48" i="26"/>
  <c r="H47" i="26"/>
  <c r="G47" i="26"/>
  <c r="F47" i="26"/>
  <c r="H46" i="26"/>
  <c r="G46" i="26"/>
  <c r="F46" i="26"/>
  <c r="H45" i="26"/>
  <c r="G45" i="26"/>
  <c r="F45" i="26"/>
  <c r="H44" i="26"/>
  <c r="G44" i="26"/>
  <c r="F44" i="26"/>
  <c r="H43" i="26"/>
  <c r="G43" i="26"/>
  <c r="F43" i="26"/>
  <c r="H41" i="26"/>
  <c r="G41" i="26"/>
  <c r="F41" i="26"/>
  <c r="E50" i="26"/>
  <c r="D50" i="26"/>
  <c r="C50" i="26"/>
  <c r="E49" i="26"/>
  <c r="D49" i="26"/>
  <c r="C49" i="26"/>
  <c r="N102" i="24" s="1"/>
  <c r="E48" i="26"/>
  <c r="D48" i="26"/>
  <c r="C48" i="26"/>
  <c r="E47" i="26"/>
  <c r="D47" i="26"/>
  <c r="C47" i="26"/>
  <c r="E46" i="26"/>
  <c r="D46" i="26"/>
  <c r="C46" i="26"/>
  <c r="E45" i="26"/>
  <c r="D45" i="26"/>
  <c r="C45" i="26"/>
  <c r="E44" i="26"/>
  <c r="D44" i="26"/>
  <c r="C44" i="26"/>
  <c r="E43" i="26"/>
  <c r="D43" i="26"/>
  <c r="C43" i="26"/>
  <c r="E41" i="26"/>
  <c r="D41" i="26"/>
  <c r="C41" i="26"/>
  <c r="X83" i="21"/>
  <c r="E40" i="26" l="1"/>
  <c r="J281" i="4"/>
  <c r="G281" i="4"/>
  <c r="D286" i="4"/>
  <c r="G286" i="4"/>
  <c r="J209" i="4"/>
  <c r="J217" i="4" s="1"/>
  <c r="G209" i="4"/>
  <c r="G217" i="4" s="1"/>
  <c r="D217" i="4"/>
  <c r="G139" i="4"/>
  <c r="J139" i="4"/>
  <c r="G137" i="4"/>
  <c r="J128" i="4"/>
  <c r="J127" i="4"/>
  <c r="J137" i="4"/>
  <c r="D140" i="4"/>
  <c r="J286" i="4" l="1"/>
  <c r="G142" i="4" l="1"/>
  <c r="D142" i="4"/>
  <c r="J142" i="4"/>
  <c r="P165" i="4"/>
  <c r="O240" i="4"/>
  <c r="J262" i="4"/>
  <c r="G259" i="4"/>
  <c r="D259" i="4"/>
  <c r="J187" i="4"/>
  <c r="G184" i="4"/>
  <c r="D184" i="4"/>
  <c r="D108" i="4"/>
  <c r="G108" i="4"/>
  <c r="G60" i="4"/>
  <c r="H60" i="4"/>
  <c r="G61" i="4"/>
  <c r="H61" i="4"/>
  <c r="G62" i="4"/>
  <c r="H62" i="4"/>
  <c r="G63" i="4"/>
  <c r="H63" i="4"/>
  <c r="G64" i="4"/>
  <c r="H64" i="4"/>
  <c r="G65" i="4"/>
  <c r="H65" i="4"/>
  <c r="G66" i="4"/>
  <c r="H66" i="4"/>
  <c r="G67" i="4"/>
  <c r="H67" i="4"/>
  <c r="G68" i="4"/>
  <c r="H68" i="4"/>
  <c r="G69" i="4"/>
  <c r="H69" i="4"/>
  <c r="G70" i="4"/>
  <c r="H70" i="4"/>
  <c r="G71" i="4"/>
  <c r="H71" i="4"/>
  <c r="B61" i="4"/>
  <c r="B62" i="4"/>
  <c r="B63" i="4"/>
  <c r="B64" i="4"/>
  <c r="B65" i="4"/>
  <c r="B66" i="4"/>
  <c r="B67" i="4"/>
  <c r="B68" i="4"/>
  <c r="B69" i="4"/>
  <c r="B70" i="4"/>
  <c r="B71" i="4"/>
  <c r="B60" i="4"/>
  <c r="D262" i="4"/>
  <c r="G261" i="4"/>
  <c r="F262" i="4"/>
  <c r="F261" i="4"/>
  <c r="F186" i="4"/>
  <c r="G186" i="4"/>
  <c r="F187" i="4"/>
  <c r="G187" i="4"/>
  <c r="J257" i="4"/>
  <c r="J258" i="4"/>
  <c r="J263" i="4"/>
  <c r="G260" i="4"/>
  <c r="D260" i="4"/>
  <c r="D182" i="4"/>
  <c r="J265" i="4" l="1"/>
  <c r="G182" i="4"/>
  <c r="D257" i="4"/>
  <c r="G262" i="4"/>
  <c r="J182" i="4"/>
  <c r="J183" i="4"/>
  <c r="J188" i="4"/>
  <c r="G185" i="4"/>
  <c r="D185" i="4"/>
  <c r="J190" i="4" l="1"/>
  <c r="P81" i="4"/>
  <c r="P80" i="4"/>
  <c r="O81" i="4"/>
  <c r="O80" i="4"/>
  <c r="J88" i="4"/>
  <c r="J91" i="4"/>
  <c r="J92" i="4"/>
  <c r="J93" i="4"/>
  <c r="J86" i="4"/>
  <c r="J85" i="4"/>
  <c r="J108" i="4" s="1"/>
  <c r="J119" i="4" s="1"/>
  <c r="G113" i="4"/>
  <c r="G112" i="4"/>
  <c r="G109" i="4"/>
  <c r="G104" i="4"/>
  <c r="G103" i="4"/>
  <c r="D103" i="4"/>
  <c r="D104" i="4"/>
  <c r="D109" i="4"/>
  <c r="D112" i="4"/>
  <c r="D113" i="4"/>
  <c r="G119" i="4" l="1"/>
  <c r="D119" i="4"/>
  <c r="H34" i="25" l="1"/>
  <c r="G34" i="25"/>
  <c r="F34" i="25"/>
  <c r="H33" i="25"/>
  <c r="G33" i="25"/>
  <c r="F33" i="25"/>
  <c r="H32" i="25"/>
  <c r="G32" i="25"/>
  <c r="F32" i="25"/>
  <c r="H31" i="25"/>
  <c r="G31" i="25"/>
  <c r="F31" i="25"/>
  <c r="H30" i="25"/>
  <c r="G30" i="25"/>
  <c r="F30" i="25"/>
  <c r="H29" i="25"/>
  <c r="F29" i="25"/>
  <c r="H28" i="25"/>
  <c r="G28" i="25"/>
  <c r="F28" i="25"/>
  <c r="H27" i="25"/>
  <c r="G27" i="25"/>
  <c r="F27" i="25"/>
  <c r="Z367" i="22"/>
  <c r="Y367" i="22"/>
  <c r="Z363" i="22"/>
  <c r="Y363" i="22"/>
  <c r="Z362" i="22"/>
  <c r="Y362" i="22"/>
  <c r="Z360" i="22"/>
  <c r="Y360" i="22"/>
  <c r="Z359" i="22"/>
  <c r="Z368" i="22" s="1"/>
  <c r="Y359" i="22"/>
  <c r="Y368" i="22" s="1"/>
  <c r="X367" i="22"/>
  <c r="W367" i="22"/>
  <c r="X363" i="22"/>
  <c r="W363" i="22"/>
  <c r="X362" i="22"/>
  <c r="W362" i="22"/>
  <c r="X360" i="22"/>
  <c r="W360" i="22"/>
  <c r="X359" i="22"/>
  <c r="W359" i="22"/>
  <c r="W368" i="22" s="1"/>
  <c r="V367" i="22"/>
  <c r="U367" i="22"/>
  <c r="V363" i="22"/>
  <c r="U363" i="22"/>
  <c r="V362" i="22"/>
  <c r="U362" i="22"/>
  <c r="V360" i="22"/>
  <c r="U360" i="22"/>
  <c r="V359" i="22"/>
  <c r="U359" i="22"/>
  <c r="T367" i="22"/>
  <c r="S367" i="22"/>
  <c r="T363" i="22"/>
  <c r="S363" i="22"/>
  <c r="T362" i="22"/>
  <c r="S362" i="22"/>
  <c r="T360" i="22"/>
  <c r="S360" i="22"/>
  <c r="T359" i="22"/>
  <c r="T368" i="22" s="1"/>
  <c r="S359" i="22"/>
  <c r="S368" i="22" s="1"/>
  <c r="R367" i="22"/>
  <c r="Q367" i="22"/>
  <c r="R363" i="22"/>
  <c r="Q363" i="22"/>
  <c r="R362" i="22"/>
  <c r="Q362" i="22"/>
  <c r="R360" i="22"/>
  <c r="Q360" i="22"/>
  <c r="R359" i="22"/>
  <c r="Q359" i="22"/>
  <c r="P367" i="22"/>
  <c r="O367" i="22"/>
  <c r="P363" i="22"/>
  <c r="O363" i="22"/>
  <c r="P362" i="22"/>
  <c r="O362" i="22"/>
  <c r="P360" i="22"/>
  <c r="O360" i="22"/>
  <c r="O368" i="22" s="1"/>
  <c r="P359" i="22"/>
  <c r="O359" i="22"/>
  <c r="N367" i="22"/>
  <c r="M367" i="22"/>
  <c r="N363" i="22"/>
  <c r="M363" i="22"/>
  <c r="N362" i="22"/>
  <c r="M362" i="22"/>
  <c r="N360" i="22"/>
  <c r="M360" i="22"/>
  <c r="N359" i="22"/>
  <c r="N368" i="22" s="1"/>
  <c r="M359" i="22"/>
  <c r="M368" i="22" s="1"/>
  <c r="L367" i="22"/>
  <c r="K367" i="22"/>
  <c r="L363" i="22"/>
  <c r="K363" i="22"/>
  <c r="L362" i="22"/>
  <c r="K362" i="22"/>
  <c r="L360" i="22"/>
  <c r="K360" i="22"/>
  <c r="L359" i="22"/>
  <c r="K359" i="22"/>
  <c r="J367" i="22"/>
  <c r="I367" i="22"/>
  <c r="J363" i="22"/>
  <c r="I363" i="22"/>
  <c r="J362" i="22"/>
  <c r="I362" i="22"/>
  <c r="J360" i="22"/>
  <c r="I360" i="22"/>
  <c r="J359" i="22"/>
  <c r="J368" i="22" s="1"/>
  <c r="I359" i="22"/>
  <c r="H359" i="22"/>
  <c r="H360" i="22"/>
  <c r="H362" i="22"/>
  <c r="H363" i="22"/>
  <c r="H367" i="22"/>
  <c r="G360" i="22"/>
  <c r="G362" i="22"/>
  <c r="G363" i="22"/>
  <c r="G367" i="22"/>
  <c r="G359" i="22"/>
  <c r="G368" i="22" s="1"/>
  <c r="D353" i="22"/>
  <c r="C353" i="22"/>
  <c r="D352" i="22"/>
  <c r="C352" i="22"/>
  <c r="D351" i="22"/>
  <c r="C351" i="22"/>
  <c r="D350" i="22"/>
  <c r="C350" i="22"/>
  <c r="D349" i="22"/>
  <c r="C349" i="22"/>
  <c r="D348" i="22"/>
  <c r="C348" i="22"/>
  <c r="D347" i="22"/>
  <c r="C347" i="22"/>
  <c r="D346" i="22"/>
  <c r="C346" i="22"/>
  <c r="D345" i="22"/>
  <c r="C345" i="22"/>
  <c r="F353" i="22"/>
  <c r="E353" i="22"/>
  <c r="F352" i="22"/>
  <c r="E352" i="22"/>
  <c r="F351" i="22"/>
  <c r="E351" i="22"/>
  <c r="F350" i="22"/>
  <c r="E350" i="22"/>
  <c r="F349" i="22"/>
  <c r="E349" i="22"/>
  <c r="F348" i="22"/>
  <c r="E348" i="22"/>
  <c r="F347" i="22"/>
  <c r="E347" i="22"/>
  <c r="F346" i="22"/>
  <c r="E346" i="22"/>
  <c r="F345" i="22"/>
  <c r="F354" i="22" s="1"/>
  <c r="E345" i="22"/>
  <c r="Z353" i="22"/>
  <c r="Y353" i="22"/>
  <c r="Z352" i="22"/>
  <c r="Y352" i="22"/>
  <c r="Z351" i="22"/>
  <c r="Y351" i="22"/>
  <c r="Z350" i="22"/>
  <c r="Y350" i="22"/>
  <c r="Z349" i="22"/>
  <c r="Y349" i="22"/>
  <c r="Z348" i="22"/>
  <c r="Y348" i="22"/>
  <c r="Z347" i="22"/>
  <c r="Y347" i="22"/>
  <c r="Z346" i="22"/>
  <c r="Y346" i="22"/>
  <c r="Z345" i="22"/>
  <c r="Y345" i="22"/>
  <c r="X353" i="22"/>
  <c r="W353" i="22"/>
  <c r="X352" i="22"/>
  <c r="W352" i="22"/>
  <c r="X351" i="22"/>
  <c r="W351" i="22"/>
  <c r="X350" i="22"/>
  <c r="W350" i="22"/>
  <c r="X349" i="22"/>
  <c r="W349" i="22"/>
  <c r="X348" i="22"/>
  <c r="W348" i="22"/>
  <c r="X347" i="22"/>
  <c r="W347" i="22"/>
  <c r="X346" i="22"/>
  <c r="W346" i="22"/>
  <c r="X345" i="22"/>
  <c r="W345" i="22"/>
  <c r="V353" i="22"/>
  <c r="U353" i="22"/>
  <c r="V352" i="22"/>
  <c r="U352" i="22"/>
  <c r="V351" i="22"/>
  <c r="U351" i="22"/>
  <c r="V350" i="22"/>
  <c r="U350" i="22"/>
  <c r="V349" i="22"/>
  <c r="U349" i="22"/>
  <c r="V348" i="22"/>
  <c r="U348" i="22"/>
  <c r="V347" i="22"/>
  <c r="U347" i="22"/>
  <c r="V346" i="22"/>
  <c r="U346" i="22"/>
  <c r="V345" i="22"/>
  <c r="U345" i="22"/>
  <c r="T353" i="22"/>
  <c r="S353" i="22"/>
  <c r="T352" i="22"/>
  <c r="S352" i="22"/>
  <c r="T351" i="22"/>
  <c r="S351" i="22"/>
  <c r="T350" i="22"/>
  <c r="S350" i="22"/>
  <c r="T349" i="22"/>
  <c r="S349" i="22"/>
  <c r="T348" i="22"/>
  <c r="S348" i="22"/>
  <c r="T347" i="22"/>
  <c r="S347" i="22"/>
  <c r="T346" i="22"/>
  <c r="S346" i="22"/>
  <c r="T345" i="22"/>
  <c r="S345" i="22"/>
  <c r="R353" i="22"/>
  <c r="Q353" i="22"/>
  <c r="R352" i="22"/>
  <c r="Q352" i="22"/>
  <c r="R351" i="22"/>
  <c r="Q351" i="22"/>
  <c r="R350" i="22"/>
  <c r="Q350" i="22"/>
  <c r="R349" i="22"/>
  <c r="Q349" i="22"/>
  <c r="R348" i="22"/>
  <c r="Q348" i="22"/>
  <c r="R347" i="22"/>
  <c r="Q347" i="22"/>
  <c r="R346" i="22"/>
  <c r="Q346" i="22"/>
  <c r="R345" i="22"/>
  <c r="Q345" i="22"/>
  <c r="P353" i="22"/>
  <c r="O353" i="22"/>
  <c r="P352" i="22"/>
  <c r="O352" i="22"/>
  <c r="P351" i="22"/>
  <c r="O351" i="22"/>
  <c r="P350" i="22"/>
  <c r="O350" i="22"/>
  <c r="P349" i="22"/>
  <c r="O349" i="22"/>
  <c r="P348" i="22"/>
  <c r="O348" i="22"/>
  <c r="P347" i="22"/>
  <c r="O347" i="22"/>
  <c r="P346" i="22"/>
  <c r="O346" i="22"/>
  <c r="P345" i="22"/>
  <c r="O345" i="22"/>
  <c r="N353" i="22"/>
  <c r="M353" i="22"/>
  <c r="N352" i="22"/>
  <c r="M352" i="22"/>
  <c r="N351" i="22"/>
  <c r="M351" i="22"/>
  <c r="N350" i="22"/>
  <c r="M350" i="22"/>
  <c r="N349" i="22"/>
  <c r="M349" i="22"/>
  <c r="N348" i="22"/>
  <c r="M348" i="22"/>
  <c r="N347" i="22"/>
  <c r="M347" i="22"/>
  <c r="N346" i="22"/>
  <c r="M346" i="22"/>
  <c r="N345" i="22"/>
  <c r="M345" i="22"/>
  <c r="L353" i="22"/>
  <c r="K353" i="22"/>
  <c r="L352" i="22"/>
  <c r="K352" i="22"/>
  <c r="L351" i="22"/>
  <c r="K351" i="22"/>
  <c r="L350" i="22"/>
  <c r="K350" i="22"/>
  <c r="L349" i="22"/>
  <c r="K349" i="22"/>
  <c r="L348" i="22"/>
  <c r="K348" i="22"/>
  <c r="L347" i="22"/>
  <c r="K347" i="22"/>
  <c r="L346" i="22"/>
  <c r="K346" i="22"/>
  <c r="L345" i="22"/>
  <c r="L354" i="22" s="1"/>
  <c r="K345" i="22"/>
  <c r="K354" i="22" s="1"/>
  <c r="J353" i="22"/>
  <c r="I353" i="22"/>
  <c r="J352" i="22"/>
  <c r="I352" i="22"/>
  <c r="J351" i="22"/>
  <c r="I351" i="22"/>
  <c r="J350" i="22"/>
  <c r="I350" i="22"/>
  <c r="J349" i="22"/>
  <c r="I349" i="22"/>
  <c r="J348" i="22"/>
  <c r="I348" i="22"/>
  <c r="J347" i="22"/>
  <c r="I347" i="22"/>
  <c r="J346" i="22"/>
  <c r="I346" i="22"/>
  <c r="I354" i="22" s="1"/>
  <c r="J345" i="22"/>
  <c r="I345" i="22"/>
  <c r="H345" i="22"/>
  <c r="H346" i="22"/>
  <c r="H347" i="22"/>
  <c r="H348" i="22"/>
  <c r="H349" i="22"/>
  <c r="H350" i="22"/>
  <c r="H351" i="22"/>
  <c r="H352" i="22"/>
  <c r="H353" i="22"/>
  <c r="G346" i="22"/>
  <c r="G347" i="22"/>
  <c r="G348" i="22"/>
  <c r="G349" i="22"/>
  <c r="G350" i="22"/>
  <c r="G351" i="22"/>
  <c r="G352" i="22"/>
  <c r="G353" i="22"/>
  <c r="G345" i="22"/>
  <c r="Z364" i="21"/>
  <c r="Y364" i="21"/>
  <c r="X364" i="21"/>
  <c r="W364" i="21"/>
  <c r="V364" i="21"/>
  <c r="U364" i="21"/>
  <c r="T364" i="21"/>
  <c r="S364" i="21"/>
  <c r="R364" i="21"/>
  <c r="Q364" i="21"/>
  <c r="P364" i="21"/>
  <c r="O364" i="21"/>
  <c r="N364" i="21"/>
  <c r="M364" i="21"/>
  <c r="L364" i="21"/>
  <c r="K364" i="21"/>
  <c r="J364" i="21"/>
  <c r="I364" i="21"/>
  <c r="H364" i="21"/>
  <c r="G364" i="21"/>
  <c r="Z360" i="21"/>
  <c r="Y360" i="21"/>
  <c r="X360" i="21"/>
  <c r="W360" i="21"/>
  <c r="V360" i="21"/>
  <c r="U360" i="21"/>
  <c r="T360" i="21"/>
  <c r="S360" i="21"/>
  <c r="R360" i="21"/>
  <c r="Q360" i="21"/>
  <c r="P360" i="21"/>
  <c r="O360" i="21"/>
  <c r="N360" i="21"/>
  <c r="M360" i="21"/>
  <c r="L360" i="21"/>
  <c r="K360" i="21"/>
  <c r="J360" i="21"/>
  <c r="I360" i="21"/>
  <c r="H360" i="21"/>
  <c r="G360" i="21"/>
  <c r="Z359" i="21"/>
  <c r="Y359" i="21"/>
  <c r="X359" i="21"/>
  <c r="W359" i="21"/>
  <c r="V359" i="21"/>
  <c r="U359" i="21"/>
  <c r="T359" i="21"/>
  <c r="S359" i="21"/>
  <c r="R359" i="21"/>
  <c r="Q359" i="21"/>
  <c r="P359" i="21"/>
  <c r="O359" i="21"/>
  <c r="N359" i="21"/>
  <c r="M359" i="21"/>
  <c r="L359" i="21"/>
  <c r="K359" i="21"/>
  <c r="J359" i="21"/>
  <c r="I359" i="21"/>
  <c r="H359" i="21"/>
  <c r="G359" i="21"/>
  <c r="Z357" i="21"/>
  <c r="Y357" i="21"/>
  <c r="X357" i="21"/>
  <c r="W357" i="21"/>
  <c r="V357" i="21"/>
  <c r="U357" i="21"/>
  <c r="T357" i="21"/>
  <c r="S357" i="21"/>
  <c r="R357" i="21"/>
  <c r="Q357" i="21"/>
  <c r="P357" i="21"/>
  <c r="O357" i="21"/>
  <c r="N357" i="21"/>
  <c r="M357" i="21"/>
  <c r="L357" i="21"/>
  <c r="K357" i="21"/>
  <c r="J357" i="21"/>
  <c r="I357" i="21"/>
  <c r="H357" i="21"/>
  <c r="G357" i="21"/>
  <c r="Z356" i="21"/>
  <c r="Y356" i="21"/>
  <c r="X356" i="21"/>
  <c r="W356" i="21"/>
  <c r="V356" i="21"/>
  <c r="U356" i="21"/>
  <c r="T356" i="21"/>
  <c r="S356" i="21"/>
  <c r="R356" i="21"/>
  <c r="Q356" i="21"/>
  <c r="Q365" i="21" s="1"/>
  <c r="P356" i="21"/>
  <c r="P365" i="21" s="1"/>
  <c r="O356" i="21"/>
  <c r="O365" i="21" s="1"/>
  <c r="N356" i="21"/>
  <c r="N365" i="21" s="1"/>
  <c r="M356" i="21"/>
  <c r="L356" i="21"/>
  <c r="K356" i="21"/>
  <c r="J356" i="21"/>
  <c r="I356" i="21"/>
  <c r="H356" i="21"/>
  <c r="G356" i="21"/>
  <c r="D349" i="21"/>
  <c r="Z350" i="21"/>
  <c r="Y350" i="21"/>
  <c r="X350" i="21"/>
  <c r="W350" i="21"/>
  <c r="V350" i="21"/>
  <c r="U350" i="21"/>
  <c r="T350" i="21"/>
  <c r="S350" i="21"/>
  <c r="R350" i="21"/>
  <c r="Q350" i="21"/>
  <c r="P350" i="21"/>
  <c r="O350" i="21"/>
  <c r="N350" i="21"/>
  <c r="M350" i="21"/>
  <c r="L350" i="21"/>
  <c r="K350" i="21"/>
  <c r="J350" i="21"/>
  <c r="I350" i="21"/>
  <c r="H350" i="21"/>
  <c r="G350" i="21"/>
  <c r="F350" i="21"/>
  <c r="E350" i="21"/>
  <c r="D350" i="21"/>
  <c r="C350" i="21"/>
  <c r="Z349" i="21"/>
  <c r="Y349" i="21"/>
  <c r="X349" i="21"/>
  <c r="W349" i="21"/>
  <c r="V349" i="21"/>
  <c r="U349" i="21"/>
  <c r="T349" i="21"/>
  <c r="S349" i="21"/>
  <c r="R349" i="21"/>
  <c r="Q349" i="21"/>
  <c r="P349" i="21"/>
  <c r="O349" i="21"/>
  <c r="N349" i="21"/>
  <c r="M349" i="21"/>
  <c r="L349" i="21"/>
  <c r="K349" i="21"/>
  <c r="J349" i="21"/>
  <c r="I349" i="21"/>
  <c r="H349" i="21"/>
  <c r="G349" i="21"/>
  <c r="F349" i="21"/>
  <c r="E349" i="21"/>
  <c r="C349" i="21"/>
  <c r="Z348" i="21"/>
  <c r="Y348" i="21"/>
  <c r="X348" i="21"/>
  <c r="W348" i="21"/>
  <c r="V348" i="21"/>
  <c r="U348" i="21"/>
  <c r="T348" i="21"/>
  <c r="S348" i="21"/>
  <c r="R348" i="21"/>
  <c r="Q348" i="21"/>
  <c r="P348" i="21"/>
  <c r="O348" i="21"/>
  <c r="N348" i="21"/>
  <c r="M348" i="21"/>
  <c r="L348" i="21"/>
  <c r="K348" i="21"/>
  <c r="J348" i="21"/>
  <c r="I348" i="21"/>
  <c r="H348" i="21"/>
  <c r="G348" i="21"/>
  <c r="F348" i="21"/>
  <c r="E348" i="21"/>
  <c r="D348" i="21"/>
  <c r="C348" i="21"/>
  <c r="Z347" i="21"/>
  <c r="Y347" i="21"/>
  <c r="X347" i="21"/>
  <c r="W347" i="21"/>
  <c r="V347" i="21"/>
  <c r="U347" i="21"/>
  <c r="T347" i="21"/>
  <c r="S347" i="21"/>
  <c r="R347" i="21"/>
  <c r="Q347" i="21"/>
  <c r="P347" i="21"/>
  <c r="O347" i="21"/>
  <c r="N347" i="21"/>
  <c r="M347" i="21"/>
  <c r="L347" i="21"/>
  <c r="K347" i="21"/>
  <c r="J347" i="21"/>
  <c r="I347" i="21"/>
  <c r="H347" i="21"/>
  <c r="G347" i="21"/>
  <c r="F347" i="21"/>
  <c r="E347" i="21"/>
  <c r="D347" i="21"/>
  <c r="C347" i="21"/>
  <c r="Z346" i="21"/>
  <c r="Y346" i="21"/>
  <c r="X346" i="21"/>
  <c r="W346" i="21"/>
  <c r="V346" i="21"/>
  <c r="U346" i="21"/>
  <c r="T346" i="21"/>
  <c r="S346" i="21"/>
  <c r="R346" i="21"/>
  <c r="Q346" i="21"/>
  <c r="P346" i="21"/>
  <c r="O346" i="21"/>
  <c r="N346" i="21"/>
  <c r="M346" i="21"/>
  <c r="L346" i="21"/>
  <c r="K346" i="21"/>
  <c r="J346" i="21"/>
  <c r="I346" i="21"/>
  <c r="H346" i="21"/>
  <c r="G346" i="21"/>
  <c r="F346" i="21"/>
  <c r="E346" i="21"/>
  <c r="D346" i="21"/>
  <c r="C346" i="21"/>
  <c r="Z345" i="21"/>
  <c r="Y345" i="21"/>
  <c r="X345" i="21"/>
  <c r="W345" i="21"/>
  <c r="V345" i="21"/>
  <c r="U345" i="21"/>
  <c r="T345" i="21"/>
  <c r="S345" i="21"/>
  <c r="R345" i="21"/>
  <c r="Q345" i="21"/>
  <c r="P345" i="21"/>
  <c r="O345" i="21"/>
  <c r="N345" i="21"/>
  <c r="M345" i="21"/>
  <c r="L345" i="21"/>
  <c r="K345" i="21"/>
  <c r="J345" i="21"/>
  <c r="I345" i="21"/>
  <c r="H345" i="21"/>
  <c r="G345" i="21"/>
  <c r="F345" i="21"/>
  <c r="E345" i="21"/>
  <c r="D345" i="21"/>
  <c r="C345" i="21"/>
  <c r="Z344" i="21"/>
  <c r="Y344" i="21"/>
  <c r="X344" i="21"/>
  <c r="W344" i="21"/>
  <c r="V344" i="21"/>
  <c r="U344" i="21"/>
  <c r="T344" i="21"/>
  <c r="S344" i="21"/>
  <c r="R344" i="21"/>
  <c r="Q344" i="21"/>
  <c r="P344" i="21"/>
  <c r="O344" i="21"/>
  <c r="N344" i="21"/>
  <c r="M344" i="21"/>
  <c r="L344" i="21"/>
  <c r="K344" i="21"/>
  <c r="J344" i="21"/>
  <c r="I344" i="21"/>
  <c r="H344" i="21"/>
  <c r="G344" i="21"/>
  <c r="F344" i="21"/>
  <c r="E344" i="21"/>
  <c r="D344" i="21"/>
  <c r="C344" i="21"/>
  <c r="Z343" i="21"/>
  <c r="Y343" i="21"/>
  <c r="X343" i="21"/>
  <c r="W343" i="21"/>
  <c r="V343" i="21"/>
  <c r="U343" i="21"/>
  <c r="T343" i="21"/>
  <c r="S343" i="21"/>
  <c r="R343" i="21"/>
  <c r="Q343" i="21"/>
  <c r="P343" i="21"/>
  <c r="O343" i="21"/>
  <c r="N343" i="21"/>
  <c r="M343" i="21"/>
  <c r="L343" i="21"/>
  <c r="K343" i="21"/>
  <c r="J343" i="21"/>
  <c r="I343" i="21"/>
  <c r="H343" i="21"/>
  <c r="G343" i="21"/>
  <c r="F343" i="21"/>
  <c r="E343" i="21"/>
  <c r="D343" i="21"/>
  <c r="C343" i="21"/>
  <c r="Z342" i="21"/>
  <c r="Y342" i="21"/>
  <c r="X342" i="21"/>
  <c r="W342" i="21"/>
  <c r="V342" i="21"/>
  <c r="U342" i="21"/>
  <c r="T342" i="21"/>
  <c r="S342" i="21"/>
  <c r="R342" i="21"/>
  <c r="R351" i="21" s="1"/>
  <c r="Q342" i="21"/>
  <c r="P342" i="21"/>
  <c r="O342" i="21"/>
  <c r="N342" i="21"/>
  <c r="M342" i="21"/>
  <c r="L342" i="21"/>
  <c r="K342" i="21"/>
  <c r="J342" i="21"/>
  <c r="I342" i="21"/>
  <c r="H342" i="21"/>
  <c r="G342" i="21"/>
  <c r="F342" i="21"/>
  <c r="E342" i="21"/>
  <c r="D342" i="21"/>
  <c r="C342" i="21"/>
  <c r="Z350" i="20"/>
  <c r="Y350" i="20"/>
  <c r="Z349" i="20"/>
  <c r="Y349" i="20"/>
  <c r="Z348" i="20"/>
  <c r="Y348" i="20"/>
  <c r="Z347" i="20"/>
  <c r="Y347" i="20"/>
  <c r="Z346" i="20"/>
  <c r="Y346" i="20"/>
  <c r="Z345" i="20"/>
  <c r="Y345" i="20"/>
  <c r="Z344" i="20"/>
  <c r="Y344" i="20"/>
  <c r="Z343" i="20"/>
  <c r="Y343" i="20"/>
  <c r="Z342" i="20"/>
  <c r="Y342" i="20"/>
  <c r="X350" i="20"/>
  <c r="W350" i="20"/>
  <c r="X349" i="20"/>
  <c r="W349" i="20"/>
  <c r="X348" i="20"/>
  <c r="W348" i="20"/>
  <c r="X347" i="20"/>
  <c r="W347" i="20"/>
  <c r="X346" i="20"/>
  <c r="W346" i="20"/>
  <c r="X345" i="20"/>
  <c r="W345" i="20"/>
  <c r="X344" i="20"/>
  <c r="W344" i="20"/>
  <c r="X343" i="20"/>
  <c r="W343" i="20"/>
  <c r="X342" i="20"/>
  <c r="W342" i="20"/>
  <c r="V350" i="20"/>
  <c r="U350" i="20"/>
  <c r="V349" i="20"/>
  <c r="U349" i="20"/>
  <c r="V348" i="20"/>
  <c r="U348" i="20"/>
  <c r="V347" i="20"/>
  <c r="U347" i="20"/>
  <c r="V346" i="20"/>
  <c r="U346" i="20"/>
  <c r="V345" i="20"/>
  <c r="U345" i="20"/>
  <c r="V344" i="20"/>
  <c r="U344" i="20"/>
  <c r="V343" i="20"/>
  <c r="U343" i="20"/>
  <c r="V342" i="20"/>
  <c r="U342" i="20"/>
  <c r="T350" i="20"/>
  <c r="S350" i="20"/>
  <c r="T349" i="20"/>
  <c r="S349" i="20"/>
  <c r="T348" i="20"/>
  <c r="S348" i="20"/>
  <c r="T347" i="20"/>
  <c r="S347" i="20"/>
  <c r="T346" i="20"/>
  <c r="S346" i="20"/>
  <c r="T345" i="20"/>
  <c r="S345" i="20"/>
  <c r="T344" i="20"/>
  <c r="S344" i="20"/>
  <c r="T343" i="20"/>
  <c r="S343" i="20"/>
  <c r="T342" i="20"/>
  <c r="S342" i="20"/>
  <c r="R350" i="20"/>
  <c r="Q350" i="20"/>
  <c r="R349" i="20"/>
  <c r="Q349" i="20"/>
  <c r="R348" i="20"/>
  <c r="Q348" i="20"/>
  <c r="R347" i="20"/>
  <c r="Q347" i="20"/>
  <c r="R346" i="20"/>
  <c r="Q346" i="20"/>
  <c r="R345" i="20"/>
  <c r="Q345" i="20"/>
  <c r="R344" i="20"/>
  <c r="Q344" i="20"/>
  <c r="R343" i="20"/>
  <c r="Q343" i="20"/>
  <c r="R342" i="20"/>
  <c r="Q342" i="20"/>
  <c r="P350" i="20"/>
  <c r="O350" i="20"/>
  <c r="P349" i="20"/>
  <c r="O349" i="20"/>
  <c r="P348" i="20"/>
  <c r="O348" i="20"/>
  <c r="P347" i="20"/>
  <c r="O347" i="20"/>
  <c r="P346" i="20"/>
  <c r="O346" i="20"/>
  <c r="P345" i="20"/>
  <c r="O345" i="20"/>
  <c r="P344" i="20"/>
  <c r="O344" i="20"/>
  <c r="P343" i="20"/>
  <c r="O343" i="20"/>
  <c r="P342" i="20"/>
  <c r="O342" i="20"/>
  <c r="N350" i="20"/>
  <c r="M350" i="20"/>
  <c r="N349" i="20"/>
  <c r="M349" i="20"/>
  <c r="N348" i="20"/>
  <c r="M348" i="20"/>
  <c r="N347" i="20"/>
  <c r="M347" i="20"/>
  <c r="N346" i="20"/>
  <c r="M346" i="20"/>
  <c r="N345" i="20"/>
  <c r="M345" i="20"/>
  <c r="N344" i="20"/>
  <c r="M344" i="20"/>
  <c r="N343" i="20"/>
  <c r="M343" i="20"/>
  <c r="N342" i="20"/>
  <c r="M342" i="20"/>
  <c r="L350" i="20"/>
  <c r="K350" i="20"/>
  <c r="L349" i="20"/>
  <c r="K349" i="20"/>
  <c r="L348" i="20"/>
  <c r="K348" i="20"/>
  <c r="L347" i="20"/>
  <c r="K347" i="20"/>
  <c r="L346" i="20"/>
  <c r="K346" i="20"/>
  <c r="L345" i="20"/>
  <c r="K345" i="20"/>
  <c r="L344" i="20"/>
  <c r="K344" i="20"/>
  <c r="L343" i="20"/>
  <c r="K343" i="20"/>
  <c r="L342" i="20"/>
  <c r="L351" i="20" s="1"/>
  <c r="K342" i="20"/>
  <c r="J350" i="20"/>
  <c r="I350" i="20"/>
  <c r="J349" i="20"/>
  <c r="I349" i="20"/>
  <c r="J348" i="20"/>
  <c r="I348" i="20"/>
  <c r="J347" i="20"/>
  <c r="I347" i="20"/>
  <c r="J346" i="20"/>
  <c r="I346" i="20"/>
  <c r="J345" i="20"/>
  <c r="I345" i="20"/>
  <c r="J344" i="20"/>
  <c r="I344" i="20"/>
  <c r="J343" i="20"/>
  <c r="I343" i="20"/>
  <c r="I351" i="20" s="1"/>
  <c r="J342" i="20"/>
  <c r="I342" i="20"/>
  <c r="F350" i="20"/>
  <c r="E350" i="20"/>
  <c r="F349" i="20"/>
  <c r="E349" i="20"/>
  <c r="F348" i="20"/>
  <c r="E348" i="20"/>
  <c r="F347" i="20"/>
  <c r="E347" i="20"/>
  <c r="F346" i="20"/>
  <c r="E346" i="20"/>
  <c r="F345" i="20"/>
  <c r="E345" i="20"/>
  <c r="F344" i="20"/>
  <c r="E344" i="20"/>
  <c r="F343" i="20"/>
  <c r="E343" i="20"/>
  <c r="F342" i="20"/>
  <c r="E342" i="20"/>
  <c r="D350" i="20"/>
  <c r="C350" i="20"/>
  <c r="D349" i="20"/>
  <c r="C349" i="20"/>
  <c r="D348" i="20"/>
  <c r="C348" i="20"/>
  <c r="D347" i="20"/>
  <c r="C347" i="20"/>
  <c r="D346" i="20"/>
  <c r="C346" i="20"/>
  <c r="D345" i="20"/>
  <c r="C345" i="20"/>
  <c r="D344" i="20"/>
  <c r="C344" i="20"/>
  <c r="D343" i="20"/>
  <c r="C343" i="20"/>
  <c r="D342" i="20"/>
  <c r="C342" i="20"/>
  <c r="H342" i="20"/>
  <c r="H343" i="20"/>
  <c r="H351" i="20" s="1"/>
  <c r="H344" i="20"/>
  <c r="H345" i="20"/>
  <c r="H346" i="20"/>
  <c r="H347" i="20"/>
  <c r="H348" i="20"/>
  <c r="H349" i="20"/>
  <c r="H350" i="20"/>
  <c r="G351" i="20"/>
  <c r="G343" i="20"/>
  <c r="G344" i="20"/>
  <c r="G345" i="20"/>
  <c r="G346" i="20"/>
  <c r="G347" i="20"/>
  <c r="G348" i="20"/>
  <c r="G349" i="20"/>
  <c r="G350" i="20"/>
  <c r="G342" i="20"/>
  <c r="Z364" i="20"/>
  <c r="Y364" i="20"/>
  <c r="Z360" i="20"/>
  <c r="Y360" i="20"/>
  <c r="Z359" i="20"/>
  <c r="Y359" i="20"/>
  <c r="Z357" i="20"/>
  <c r="Y357" i="20"/>
  <c r="Z356" i="20"/>
  <c r="Y356" i="20"/>
  <c r="X364" i="20"/>
  <c r="W364" i="20"/>
  <c r="X360" i="20"/>
  <c r="W360" i="20"/>
  <c r="X359" i="20"/>
  <c r="W359" i="20"/>
  <c r="X357" i="20"/>
  <c r="W357" i="20"/>
  <c r="X356" i="20"/>
  <c r="X365" i="20" s="1"/>
  <c r="W356" i="20"/>
  <c r="W365" i="20" s="1"/>
  <c r="V364" i="20"/>
  <c r="U364" i="20"/>
  <c r="V360" i="20"/>
  <c r="U360" i="20"/>
  <c r="V359" i="20"/>
  <c r="U359" i="20"/>
  <c r="V357" i="20"/>
  <c r="U357" i="20"/>
  <c r="V356" i="20"/>
  <c r="U356" i="20"/>
  <c r="T364" i="20"/>
  <c r="S364" i="20"/>
  <c r="T360" i="20"/>
  <c r="S360" i="20"/>
  <c r="T359" i="20"/>
  <c r="S359" i="20"/>
  <c r="T357" i="20"/>
  <c r="S357" i="20"/>
  <c r="T356" i="20"/>
  <c r="S356" i="20"/>
  <c r="R364" i="20"/>
  <c r="Q364" i="20"/>
  <c r="R360" i="20"/>
  <c r="Q360" i="20"/>
  <c r="R359" i="20"/>
  <c r="Q359" i="20"/>
  <c r="R357" i="20"/>
  <c r="Q357" i="20"/>
  <c r="R356" i="20"/>
  <c r="Q356" i="20"/>
  <c r="P364" i="20"/>
  <c r="O364" i="20"/>
  <c r="P360" i="20"/>
  <c r="O360" i="20"/>
  <c r="P359" i="20"/>
  <c r="O359" i="20"/>
  <c r="P357" i="20"/>
  <c r="O357" i="20"/>
  <c r="P356" i="20"/>
  <c r="O356" i="20"/>
  <c r="N364" i="20"/>
  <c r="M364" i="20"/>
  <c r="N360" i="20"/>
  <c r="M360" i="20"/>
  <c r="N359" i="20"/>
  <c r="M359" i="20"/>
  <c r="N357" i="20"/>
  <c r="M357" i="20"/>
  <c r="N356" i="20"/>
  <c r="M356" i="20"/>
  <c r="L364" i="20"/>
  <c r="K364" i="20"/>
  <c r="L360" i="20"/>
  <c r="K360" i="20"/>
  <c r="L359" i="20"/>
  <c r="K359" i="20"/>
  <c r="L357" i="20"/>
  <c r="K357" i="20"/>
  <c r="L356" i="20"/>
  <c r="K356" i="20"/>
  <c r="J364" i="20"/>
  <c r="I364" i="20"/>
  <c r="J360" i="20"/>
  <c r="I360" i="20"/>
  <c r="J359" i="20"/>
  <c r="I359" i="20"/>
  <c r="J357" i="20"/>
  <c r="I357" i="20"/>
  <c r="J356" i="20"/>
  <c r="I356" i="20"/>
  <c r="H356" i="20"/>
  <c r="H357" i="20"/>
  <c r="H359" i="20"/>
  <c r="H360" i="20"/>
  <c r="H364" i="20"/>
  <c r="G357" i="20"/>
  <c r="G359" i="20"/>
  <c r="G360" i="20"/>
  <c r="G364" i="20"/>
  <c r="G356" i="20"/>
  <c r="D118" i="24"/>
  <c r="E118" i="24"/>
  <c r="D119" i="24"/>
  <c r="E119" i="24"/>
  <c r="D120" i="24"/>
  <c r="E120" i="24"/>
  <c r="D121" i="24"/>
  <c r="E121" i="24"/>
  <c r="D122" i="24"/>
  <c r="E122" i="24"/>
  <c r="D123" i="24"/>
  <c r="E123" i="24"/>
  <c r="D127" i="24"/>
  <c r="E127" i="24"/>
  <c r="D128" i="24"/>
  <c r="E128" i="24"/>
  <c r="D129" i="24"/>
  <c r="E129" i="24"/>
  <c r="D130" i="24"/>
  <c r="E130" i="24"/>
  <c r="D131" i="24"/>
  <c r="E131" i="24"/>
  <c r="D132" i="24"/>
  <c r="E132" i="24"/>
  <c r="D137" i="24"/>
  <c r="E137" i="24"/>
  <c r="D138" i="24"/>
  <c r="E138" i="24"/>
  <c r="D139" i="24"/>
  <c r="E139" i="24"/>
  <c r="D140" i="24"/>
  <c r="E140" i="24"/>
  <c r="D141" i="24"/>
  <c r="E141" i="24"/>
  <c r="D142" i="24"/>
  <c r="E142" i="24"/>
  <c r="D146" i="24"/>
  <c r="E146" i="24"/>
  <c r="D147" i="24"/>
  <c r="E147" i="24"/>
  <c r="D148" i="24"/>
  <c r="E148" i="24"/>
  <c r="D149" i="24"/>
  <c r="E149" i="24"/>
  <c r="D150" i="24"/>
  <c r="E150" i="24"/>
  <c r="D151" i="24"/>
  <c r="E151" i="24"/>
  <c r="D175" i="24"/>
  <c r="E175" i="24"/>
  <c r="D176" i="24"/>
  <c r="E176" i="24"/>
  <c r="D177" i="24"/>
  <c r="E177" i="24"/>
  <c r="D178" i="24"/>
  <c r="E178" i="24"/>
  <c r="D179" i="24"/>
  <c r="E179" i="24"/>
  <c r="D180" i="24"/>
  <c r="E180" i="24"/>
  <c r="D184" i="24"/>
  <c r="E184" i="24"/>
  <c r="D185" i="24"/>
  <c r="E185" i="24"/>
  <c r="D186" i="24"/>
  <c r="E186" i="24"/>
  <c r="D187" i="24"/>
  <c r="E187" i="24"/>
  <c r="D188" i="24"/>
  <c r="E188" i="24"/>
  <c r="D189" i="24"/>
  <c r="E189" i="24"/>
  <c r="D194" i="24"/>
  <c r="E194" i="24"/>
  <c r="D195" i="24"/>
  <c r="E195" i="24"/>
  <c r="D196" i="24"/>
  <c r="E196" i="24"/>
  <c r="D197" i="24"/>
  <c r="E197" i="24"/>
  <c r="D198" i="24"/>
  <c r="E198" i="24"/>
  <c r="D199" i="24"/>
  <c r="E199" i="24"/>
  <c r="D203" i="24"/>
  <c r="E203" i="24"/>
  <c r="D204" i="24"/>
  <c r="E204" i="24"/>
  <c r="D205" i="24"/>
  <c r="E205" i="24"/>
  <c r="D206" i="24"/>
  <c r="E206" i="24"/>
  <c r="D207" i="24"/>
  <c r="E207" i="24"/>
  <c r="D208" i="24"/>
  <c r="E208" i="24"/>
  <c r="D214" i="24"/>
  <c r="E214" i="24"/>
  <c r="D215" i="24"/>
  <c r="E215" i="24"/>
  <c r="D216" i="24"/>
  <c r="E216" i="24"/>
  <c r="D217" i="24"/>
  <c r="E217" i="24"/>
  <c r="D218" i="24"/>
  <c r="E218" i="24"/>
  <c r="D219" i="24"/>
  <c r="E219" i="24"/>
  <c r="D223" i="24"/>
  <c r="E223" i="24"/>
  <c r="D224" i="24"/>
  <c r="E224" i="24"/>
  <c r="D225" i="24"/>
  <c r="E225" i="24"/>
  <c r="D226" i="24"/>
  <c r="E226" i="24"/>
  <c r="D227" i="24"/>
  <c r="E227" i="24"/>
  <c r="D228" i="24"/>
  <c r="E228" i="24"/>
  <c r="Z339" i="22"/>
  <c r="Y339" i="22"/>
  <c r="Z338" i="22"/>
  <c r="Z340" i="22" s="1"/>
  <c r="Y338" i="22"/>
  <c r="Y340" i="22" s="1"/>
  <c r="Z337" i="22"/>
  <c r="Y337" i="22"/>
  <c r="Z336" i="22"/>
  <c r="Y336" i="22"/>
  <c r="Z335" i="22"/>
  <c r="Y335" i="22"/>
  <c r="Z334" i="22"/>
  <c r="Y334" i="22"/>
  <c r="Z333" i="22"/>
  <c r="Y333" i="22"/>
  <c r="Z332" i="22"/>
  <c r="Y332" i="22"/>
  <c r="Z331" i="22"/>
  <c r="Y331" i="22"/>
  <c r="X339" i="22"/>
  <c r="W339" i="22"/>
  <c r="X338" i="22"/>
  <c r="X340" i="22" s="1"/>
  <c r="N216" i="24" s="1"/>
  <c r="W338" i="22"/>
  <c r="X337" i="22"/>
  <c r="W337" i="22"/>
  <c r="X336" i="22"/>
  <c r="W336" i="22"/>
  <c r="X335" i="22"/>
  <c r="W335" i="22"/>
  <c r="X334" i="22"/>
  <c r="W334" i="22"/>
  <c r="X333" i="22"/>
  <c r="W333" i="22"/>
  <c r="X332" i="22"/>
  <c r="W332" i="22"/>
  <c r="X331" i="22"/>
  <c r="W331" i="22"/>
  <c r="T339" i="22"/>
  <c r="S339" i="22"/>
  <c r="T338" i="22"/>
  <c r="S338" i="22"/>
  <c r="S340" i="22" s="1"/>
  <c r="T337" i="22"/>
  <c r="S337" i="22"/>
  <c r="T336" i="22"/>
  <c r="S336" i="22"/>
  <c r="T335" i="22"/>
  <c r="S335" i="22"/>
  <c r="T334" i="22"/>
  <c r="S334" i="22"/>
  <c r="T333" i="22"/>
  <c r="S333" i="22"/>
  <c r="T332" i="22"/>
  <c r="S332" i="22"/>
  <c r="T331" i="22"/>
  <c r="S331" i="22"/>
  <c r="P339" i="22"/>
  <c r="O339" i="22"/>
  <c r="P338" i="22"/>
  <c r="P340" i="22" s="1"/>
  <c r="O338" i="22"/>
  <c r="O340" i="22" s="1"/>
  <c r="P337" i="22"/>
  <c r="O337" i="22"/>
  <c r="P336" i="22"/>
  <c r="O336" i="22"/>
  <c r="P335" i="22"/>
  <c r="O335" i="22"/>
  <c r="P334" i="22"/>
  <c r="O334" i="22"/>
  <c r="P333" i="22"/>
  <c r="O333" i="22"/>
  <c r="P332" i="22"/>
  <c r="O332" i="22"/>
  <c r="P331" i="22"/>
  <c r="O331" i="22"/>
  <c r="N339" i="22"/>
  <c r="M339" i="22"/>
  <c r="N338" i="22"/>
  <c r="N340" i="22" s="1"/>
  <c r="K216" i="24" s="1"/>
  <c r="M338" i="22"/>
  <c r="M340" i="22" s="1"/>
  <c r="N337" i="22"/>
  <c r="M337" i="22"/>
  <c r="N336" i="22"/>
  <c r="M336" i="22"/>
  <c r="N335" i="22"/>
  <c r="M335" i="22"/>
  <c r="N334" i="22"/>
  <c r="M334" i="22"/>
  <c r="N333" i="22"/>
  <c r="M333" i="22"/>
  <c r="N332" i="22"/>
  <c r="M332" i="22"/>
  <c r="N331" i="22"/>
  <c r="M331" i="22"/>
  <c r="J339" i="22"/>
  <c r="I339" i="22"/>
  <c r="J338" i="22"/>
  <c r="J340" i="22" s="1"/>
  <c r="I338" i="22"/>
  <c r="I340" i="22" s="1"/>
  <c r="J337" i="22"/>
  <c r="I337" i="22"/>
  <c r="J336" i="22"/>
  <c r="I336" i="22"/>
  <c r="J335" i="22"/>
  <c r="I335" i="22"/>
  <c r="J334" i="22"/>
  <c r="I334" i="22"/>
  <c r="J333" i="22"/>
  <c r="I333" i="22"/>
  <c r="J332" i="22"/>
  <c r="I332" i="22"/>
  <c r="J331" i="22"/>
  <c r="I331" i="22"/>
  <c r="Z336" i="21"/>
  <c r="Y336" i="21"/>
  <c r="Z335" i="21"/>
  <c r="Z337" i="21" s="1"/>
  <c r="Y335" i="21"/>
  <c r="Y337" i="21" s="1"/>
  <c r="Z334" i="21"/>
  <c r="Y334" i="21"/>
  <c r="Z333" i="21"/>
  <c r="Y333" i="21"/>
  <c r="Z332" i="21"/>
  <c r="Y332" i="21"/>
  <c r="Z331" i="21"/>
  <c r="Y331" i="21"/>
  <c r="Z330" i="21"/>
  <c r="Y330" i="21"/>
  <c r="Z329" i="21"/>
  <c r="Y329" i="21"/>
  <c r="Z328" i="21"/>
  <c r="Y328" i="21"/>
  <c r="X336" i="21"/>
  <c r="W336" i="21"/>
  <c r="X335" i="21"/>
  <c r="X337" i="21" s="1"/>
  <c r="N215" i="24" s="1"/>
  <c r="W335" i="21"/>
  <c r="W337" i="21" s="1"/>
  <c r="X334" i="21"/>
  <c r="W334" i="21"/>
  <c r="X333" i="21"/>
  <c r="W333" i="21"/>
  <c r="X332" i="21"/>
  <c r="W332" i="21"/>
  <c r="X331" i="21"/>
  <c r="W331" i="21"/>
  <c r="X330" i="21"/>
  <c r="W330" i="21"/>
  <c r="X329" i="21"/>
  <c r="W329" i="21"/>
  <c r="X328" i="21"/>
  <c r="W328" i="21"/>
  <c r="T336" i="21"/>
  <c r="S336" i="21"/>
  <c r="T335" i="21"/>
  <c r="S335" i="21"/>
  <c r="S337" i="21" s="1"/>
  <c r="T334" i="21"/>
  <c r="S334" i="21"/>
  <c r="T333" i="21"/>
  <c r="S333" i="21"/>
  <c r="T332" i="21"/>
  <c r="S332" i="21"/>
  <c r="T331" i="21"/>
  <c r="S331" i="21"/>
  <c r="T330" i="21"/>
  <c r="S330" i="21"/>
  <c r="T329" i="21"/>
  <c r="S329" i="21"/>
  <c r="T328" i="21"/>
  <c r="S328" i="21"/>
  <c r="P336" i="21"/>
  <c r="O336" i="21"/>
  <c r="P335" i="21"/>
  <c r="P337" i="21" s="1"/>
  <c r="O335" i="21"/>
  <c r="O337" i="21" s="1"/>
  <c r="P334" i="21"/>
  <c r="O334" i="21"/>
  <c r="P333" i="21"/>
  <c r="O333" i="21"/>
  <c r="P332" i="21"/>
  <c r="O332" i="21"/>
  <c r="P331" i="21"/>
  <c r="O331" i="21"/>
  <c r="P330" i="21"/>
  <c r="O330" i="21"/>
  <c r="P329" i="21"/>
  <c r="O329" i="21"/>
  <c r="P328" i="21"/>
  <c r="O328" i="21"/>
  <c r="N336" i="21"/>
  <c r="M336" i="21"/>
  <c r="N335" i="21"/>
  <c r="N337" i="21" s="1"/>
  <c r="K215" i="24" s="1"/>
  <c r="M335" i="21"/>
  <c r="M337" i="21" s="1"/>
  <c r="N334" i="21"/>
  <c r="M334" i="21"/>
  <c r="N333" i="21"/>
  <c r="M333" i="21"/>
  <c r="N332" i="21"/>
  <c r="M332" i="21"/>
  <c r="N331" i="21"/>
  <c r="M331" i="21"/>
  <c r="N330" i="21"/>
  <c r="M330" i="21"/>
  <c r="N329" i="21"/>
  <c r="M329" i="21"/>
  <c r="N328" i="21"/>
  <c r="M328" i="21"/>
  <c r="I328" i="21"/>
  <c r="J336" i="21"/>
  <c r="I336" i="21"/>
  <c r="J335" i="21"/>
  <c r="J337" i="21" s="1"/>
  <c r="J215" i="24" s="1"/>
  <c r="I335" i="21"/>
  <c r="I337" i="21" s="1"/>
  <c r="J334" i="21"/>
  <c r="I334" i="21"/>
  <c r="J333" i="21"/>
  <c r="I333" i="21"/>
  <c r="J332" i="21"/>
  <c r="I332" i="21"/>
  <c r="J331" i="21"/>
  <c r="I331" i="21"/>
  <c r="J330" i="21"/>
  <c r="I330" i="21"/>
  <c r="J329" i="21"/>
  <c r="I329" i="21"/>
  <c r="J328" i="21"/>
  <c r="W340" i="22"/>
  <c r="T340" i="22"/>
  <c r="T337" i="21"/>
  <c r="Z336" i="20"/>
  <c r="Y336" i="20"/>
  <c r="Z335" i="20"/>
  <c r="Z337" i="20" s="1"/>
  <c r="O214" i="24" s="1"/>
  <c r="Y335" i="20"/>
  <c r="Y337" i="20" s="1"/>
  <c r="Z334" i="20"/>
  <c r="Y334" i="20"/>
  <c r="Z333" i="20"/>
  <c r="Y333" i="20"/>
  <c r="Z332" i="20"/>
  <c r="Y332" i="20"/>
  <c r="Z331" i="20"/>
  <c r="Y331" i="20"/>
  <c r="Z330" i="20"/>
  <c r="Y330" i="20"/>
  <c r="Z329" i="20"/>
  <c r="Y329" i="20"/>
  <c r="Z328" i="20"/>
  <c r="Y328" i="20"/>
  <c r="X336" i="20"/>
  <c r="W336" i="20"/>
  <c r="X335" i="20"/>
  <c r="X337" i="20" s="1"/>
  <c r="N214" i="24" s="1"/>
  <c r="W335" i="20"/>
  <c r="W337" i="20" s="1"/>
  <c r="X334" i="20"/>
  <c r="W334" i="20"/>
  <c r="X333" i="20"/>
  <c r="W333" i="20"/>
  <c r="X332" i="20"/>
  <c r="W332" i="20"/>
  <c r="X331" i="20"/>
  <c r="W331" i="20"/>
  <c r="X330" i="20"/>
  <c r="W330" i="20"/>
  <c r="X329" i="20"/>
  <c r="W329" i="20"/>
  <c r="X328" i="20"/>
  <c r="W328" i="20"/>
  <c r="T336" i="20"/>
  <c r="S336" i="20"/>
  <c r="T335" i="20"/>
  <c r="T337" i="20" s="1"/>
  <c r="S335" i="20"/>
  <c r="S337" i="20" s="1"/>
  <c r="T334" i="20"/>
  <c r="S334" i="20"/>
  <c r="T333" i="20"/>
  <c r="S333" i="20"/>
  <c r="T332" i="20"/>
  <c r="S332" i="20"/>
  <c r="T331" i="20"/>
  <c r="S331" i="20"/>
  <c r="T330" i="20"/>
  <c r="S330" i="20"/>
  <c r="T329" i="20"/>
  <c r="S329" i="20"/>
  <c r="T328" i="20"/>
  <c r="S328" i="20"/>
  <c r="P336" i="20"/>
  <c r="O336" i="20"/>
  <c r="O335" i="20"/>
  <c r="O337" i="20" s="1"/>
  <c r="P334" i="20"/>
  <c r="O334" i="20"/>
  <c r="P333" i="20"/>
  <c r="O333" i="20"/>
  <c r="P332" i="20"/>
  <c r="O332" i="20"/>
  <c r="P331" i="20"/>
  <c r="O331" i="20"/>
  <c r="P330" i="20"/>
  <c r="O330" i="20"/>
  <c r="P329" i="20"/>
  <c r="O329" i="20"/>
  <c r="P328" i="20"/>
  <c r="O328" i="20"/>
  <c r="N336" i="20"/>
  <c r="M336" i="20"/>
  <c r="N335" i="20"/>
  <c r="N337" i="20" s="1"/>
  <c r="K214" i="24" s="1"/>
  <c r="M335" i="20"/>
  <c r="M337" i="20" s="1"/>
  <c r="N334" i="20"/>
  <c r="M334" i="20"/>
  <c r="N333" i="20"/>
  <c r="M333" i="20"/>
  <c r="N332" i="20"/>
  <c r="M332" i="20"/>
  <c r="N331" i="20"/>
  <c r="M331" i="20"/>
  <c r="N330" i="20"/>
  <c r="M330" i="20"/>
  <c r="N329" i="20"/>
  <c r="M329" i="20"/>
  <c r="N328" i="20"/>
  <c r="M328" i="20"/>
  <c r="I333" i="20"/>
  <c r="J333" i="20"/>
  <c r="I334" i="20"/>
  <c r="J334" i="20"/>
  <c r="I335" i="20"/>
  <c r="I337" i="20" s="1"/>
  <c r="J335" i="20"/>
  <c r="J337" i="20" s="1"/>
  <c r="I336" i="20"/>
  <c r="J336" i="20"/>
  <c r="J332" i="20"/>
  <c r="I332" i="20"/>
  <c r="J331" i="20"/>
  <c r="I331" i="20"/>
  <c r="J330" i="20"/>
  <c r="I330" i="20"/>
  <c r="J329" i="20"/>
  <c r="I329" i="20"/>
  <c r="J328" i="20"/>
  <c r="I328" i="20"/>
  <c r="M351" i="20" l="1"/>
  <c r="N351" i="20"/>
  <c r="R365" i="21"/>
  <c r="S365" i="21"/>
  <c r="T365" i="21"/>
  <c r="P354" i="22"/>
  <c r="L365" i="20"/>
  <c r="S351" i="21"/>
  <c r="G351" i="21"/>
  <c r="P351" i="20"/>
  <c r="Q351" i="20"/>
  <c r="K351" i="21"/>
  <c r="W365" i="21"/>
  <c r="C351" i="21"/>
  <c r="R351" i="20"/>
  <c r="J351" i="21"/>
  <c r="G365" i="21"/>
  <c r="T351" i="20"/>
  <c r="H365" i="21"/>
  <c r="C351" i="20"/>
  <c r="I365" i="21"/>
  <c r="D351" i="20"/>
  <c r="V351" i="20"/>
  <c r="J365" i="21"/>
  <c r="K368" i="22"/>
  <c r="W351" i="20"/>
  <c r="O351" i="21"/>
  <c r="K365" i="21"/>
  <c r="W354" i="22"/>
  <c r="H368" i="22"/>
  <c r="K351" i="20"/>
  <c r="O351" i="20"/>
  <c r="W351" i="21"/>
  <c r="V368" i="22"/>
  <c r="G365" i="20"/>
  <c r="O354" i="22"/>
  <c r="U365" i="21"/>
  <c r="Z351" i="21"/>
  <c r="V365" i="21"/>
  <c r="X368" i="22"/>
  <c r="S351" i="20"/>
  <c r="Q354" i="22"/>
  <c r="X365" i="21"/>
  <c r="T354" i="22"/>
  <c r="R368" i="22"/>
  <c r="O365" i="20"/>
  <c r="U351" i="20"/>
  <c r="Y365" i="21"/>
  <c r="L368" i="22"/>
  <c r="Q368" i="22"/>
  <c r="Z365" i="21"/>
  <c r="F351" i="20"/>
  <c r="X351" i="20"/>
  <c r="L365" i="21"/>
  <c r="X354" i="22"/>
  <c r="E351" i="20"/>
  <c r="Y351" i="20"/>
  <c r="M365" i="21"/>
  <c r="U368" i="22"/>
  <c r="T365" i="20"/>
  <c r="J351" i="20"/>
  <c r="Z351" i="20"/>
  <c r="I368" i="22"/>
  <c r="P368" i="22"/>
  <c r="M354" i="22"/>
  <c r="S354" i="22"/>
  <c r="N354" i="22"/>
  <c r="R354" i="22"/>
  <c r="U354" i="22"/>
  <c r="V354" i="22"/>
  <c r="Y354" i="22"/>
  <c r="Z354" i="22"/>
  <c r="J354" i="22"/>
  <c r="H354" i="22"/>
  <c r="E354" i="22"/>
  <c r="D354" i="22"/>
  <c r="C354" i="22"/>
  <c r="G354" i="22"/>
  <c r="H351" i="21"/>
  <c r="D351" i="21"/>
  <c r="Y351" i="21"/>
  <c r="X351" i="21"/>
  <c r="V351" i="21"/>
  <c r="U351" i="21"/>
  <c r="T351" i="21"/>
  <c r="Q351" i="21"/>
  <c r="P351" i="21"/>
  <c r="N351" i="21"/>
  <c r="M351" i="21"/>
  <c r="L351" i="21"/>
  <c r="I351" i="21"/>
  <c r="F351" i="21"/>
  <c r="E351" i="21"/>
  <c r="H365" i="20"/>
  <c r="M365" i="20"/>
  <c r="S365" i="20"/>
  <c r="Y365" i="20"/>
  <c r="P365" i="20"/>
  <c r="I365" i="20"/>
  <c r="K365" i="20"/>
  <c r="Q365" i="20"/>
  <c r="U365" i="20"/>
  <c r="J365" i="20"/>
  <c r="N365" i="20"/>
  <c r="R365" i="20"/>
  <c r="V365" i="20"/>
  <c r="Z365" i="20"/>
  <c r="G149" i="25"/>
  <c r="E149" i="25"/>
  <c r="G147" i="25"/>
  <c r="E147" i="25"/>
  <c r="G144" i="25"/>
  <c r="E144" i="25"/>
  <c r="G141" i="25"/>
  <c r="G142" i="25" s="1"/>
  <c r="J142" i="25" s="1"/>
  <c r="E141" i="25"/>
  <c r="E142" i="25" s="1"/>
  <c r="E145" i="25" l="1"/>
  <c r="E151" i="25"/>
  <c r="G151" i="25"/>
  <c r="G145" i="25"/>
  <c r="J145" i="25" s="1"/>
  <c r="E254" i="24"/>
  <c r="D254" i="24"/>
  <c r="E253" i="24"/>
  <c r="D253" i="24"/>
  <c r="E252" i="24"/>
  <c r="D252" i="24"/>
  <c r="O239" i="24" l="1"/>
  <c r="N239" i="24"/>
  <c r="M239" i="24"/>
  <c r="L239" i="24"/>
  <c r="K239" i="24"/>
  <c r="J239" i="24"/>
  <c r="I239" i="24"/>
  <c r="H239" i="24"/>
  <c r="G239" i="24"/>
  <c r="F239" i="24"/>
  <c r="E239" i="24"/>
  <c r="D241" i="24"/>
  <c r="D240" i="24"/>
  <c r="D239" i="24"/>
  <c r="E233" i="24"/>
  <c r="D233" i="24"/>
  <c r="E234" i="24"/>
  <c r="D234" i="24"/>
  <c r="E235" i="24"/>
  <c r="D235" i="24"/>
  <c r="K54" i="27"/>
  <c r="G241" i="24" s="1"/>
  <c r="J52" i="27"/>
  <c r="E240" i="24" s="1"/>
  <c r="O252" i="24"/>
  <c r="N252" i="24"/>
  <c r="M252" i="24"/>
  <c r="L252" i="24"/>
  <c r="K252" i="24"/>
  <c r="J252" i="24"/>
  <c r="I252" i="24"/>
  <c r="H252" i="24"/>
  <c r="G252" i="24"/>
  <c r="F252" i="24"/>
  <c r="O233" i="24"/>
  <c r="N233" i="24"/>
  <c r="M233" i="24"/>
  <c r="L233" i="24"/>
  <c r="K233" i="24"/>
  <c r="J233" i="24"/>
  <c r="I233" i="24"/>
  <c r="H233" i="24"/>
  <c r="G233" i="24"/>
  <c r="F233" i="24"/>
  <c r="O253" i="24"/>
  <c r="N253" i="24"/>
  <c r="M253" i="24"/>
  <c r="L253" i="24"/>
  <c r="K253" i="24"/>
  <c r="J253" i="24"/>
  <c r="I253" i="24"/>
  <c r="H253" i="24"/>
  <c r="G253" i="24"/>
  <c r="F253" i="24"/>
  <c r="O234" i="24"/>
  <c r="N234" i="24"/>
  <c r="M234" i="24"/>
  <c r="L234" i="24"/>
  <c r="K234" i="24"/>
  <c r="J234" i="24"/>
  <c r="I234" i="24"/>
  <c r="H234" i="24"/>
  <c r="G234" i="24"/>
  <c r="F234" i="24"/>
  <c r="O254" i="24"/>
  <c r="N254" i="24"/>
  <c r="M254" i="24"/>
  <c r="L254" i="24"/>
  <c r="K254" i="24"/>
  <c r="J254" i="24"/>
  <c r="I254" i="24"/>
  <c r="H254" i="24"/>
  <c r="G254" i="24"/>
  <c r="F254" i="24"/>
  <c r="O235" i="24"/>
  <c r="N235" i="24"/>
  <c r="M235" i="24"/>
  <c r="L235" i="24"/>
  <c r="K235" i="24"/>
  <c r="J235" i="24"/>
  <c r="I235" i="24"/>
  <c r="H235" i="24"/>
  <c r="G235" i="24"/>
  <c r="F235" i="24"/>
  <c r="J46" i="27" l="1"/>
  <c r="J45" i="27"/>
  <c r="J44" i="27"/>
  <c r="J43" i="27"/>
  <c r="J42" i="27"/>
  <c r="J41" i="27"/>
  <c r="J40" i="27"/>
  <c r="J39" i="27"/>
  <c r="J38" i="27"/>
  <c r="N217" i="24"/>
  <c r="N229" i="24" s="1"/>
  <c r="K217" i="24"/>
  <c r="K229" i="24" s="1"/>
  <c r="O263" i="24" l="1"/>
  <c r="N263" i="24"/>
  <c r="M263" i="24"/>
  <c r="L263" i="24"/>
  <c r="K263" i="24"/>
  <c r="J263" i="24"/>
  <c r="I263" i="24"/>
  <c r="H263" i="24"/>
  <c r="G263" i="24"/>
  <c r="F263" i="24"/>
  <c r="E263" i="24"/>
  <c r="D263" i="24"/>
  <c r="O262" i="24"/>
  <c r="N262" i="24"/>
  <c r="M262" i="24"/>
  <c r="L262" i="24"/>
  <c r="K262" i="24"/>
  <c r="J262" i="24"/>
  <c r="I262" i="24"/>
  <c r="H262" i="24"/>
  <c r="G262" i="24"/>
  <c r="F262" i="24"/>
  <c r="E262" i="24"/>
  <c r="D262" i="24"/>
  <c r="O261" i="24"/>
  <c r="N261" i="24"/>
  <c r="M261" i="24"/>
  <c r="L261" i="24"/>
  <c r="K261" i="24"/>
  <c r="J261" i="24"/>
  <c r="I261" i="24"/>
  <c r="H261" i="24"/>
  <c r="G261" i="24"/>
  <c r="F261" i="24"/>
  <c r="E261" i="24"/>
  <c r="D261" i="24"/>
  <c r="O244" i="24"/>
  <c r="N244" i="24"/>
  <c r="M244" i="24"/>
  <c r="L244" i="24"/>
  <c r="K244" i="24"/>
  <c r="J244" i="24"/>
  <c r="I244" i="24"/>
  <c r="H244" i="24"/>
  <c r="G244" i="24"/>
  <c r="F244" i="24"/>
  <c r="E244" i="24"/>
  <c r="D244" i="24"/>
  <c r="O243" i="24"/>
  <c r="N243" i="24"/>
  <c r="M243" i="24"/>
  <c r="L243" i="24"/>
  <c r="K243" i="24"/>
  <c r="J243" i="24"/>
  <c r="I243" i="24"/>
  <c r="H243" i="24"/>
  <c r="G243" i="24"/>
  <c r="F243" i="24"/>
  <c r="E243" i="24"/>
  <c r="D243" i="24"/>
  <c r="O242" i="24"/>
  <c r="N242" i="24"/>
  <c r="M242" i="24"/>
  <c r="L242" i="24"/>
  <c r="K242" i="24"/>
  <c r="J242" i="24"/>
  <c r="I242" i="24"/>
  <c r="H242" i="24"/>
  <c r="G242" i="24"/>
  <c r="F242" i="24"/>
  <c r="E242" i="24"/>
  <c r="D242" i="24"/>
  <c r="O225" i="24"/>
  <c r="I225" i="24"/>
  <c r="M225" i="24"/>
  <c r="H225" i="24"/>
  <c r="L225" i="24"/>
  <c r="G225" i="24"/>
  <c r="J225" i="24"/>
  <c r="F225" i="24"/>
  <c r="O224" i="24"/>
  <c r="I224" i="24"/>
  <c r="M224" i="24"/>
  <c r="H224" i="24"/>
  <c r="L224" i="24"/>
  <c r="G224" i="24"/>
  <c r="J224" i="24"/>
  <c r="F224" i="24"/>
  <c r="O223" i="24"/>
  <c r="I223" i="24"/>
  <c r="M223" i="24"/>
  <c r="H223" i="24"/>
  <c r="L223" i="24"/>
  <c r="G223" i="24"/>
  <c r="J223" i="24"/>
  <c r="F223" i="24"/>
  <c r="O167" i="24"/>
  <c r="N167" i="24"/>
  <c r="M167" i="24"/>
  <c r="L167" i="24"/>
  <c r="K167" i="24"/>
  <c r="J167" i="24"/>
  <c r="I167" i="24"/>
  <c r="H167" i="24"/>
  <c r="G167" i="24"/>
  <c r="F167" i="24"/>
  <c r="E167" i="24"/>
  <c r="D167" i="24"/>
  <c r="O166" i="24"/>
  <c r="N166" i="24"/>
  <c r="M166" i="24"/>
  <c r="L166" i="24"/>
  <c r="K166" i="24"/>
  <c r="J166" i="24"/>
  <c r="I166" i="24"/>
  <c r="H166" i="24"/>
  <c r="G166" i="24"/>
  <c r="F166" i="24"/>
  <c r="E166" i="24"/>
  <c r="D166" i="24"/>
  <c r="O165" i="24"/>
  <c r="N165" i="24"/>
  <c r="M165" i="24"/>
  <c r="L165" i="24"/>
  <c r="K165" i="24"/>
  <c r="J165" i="24"/>
  <c r="I165" i="24"/>
  <c r="H165" i="24"/>
  <c r="G165" i="24"/>
  <c r="F165" i="24"/>
  <c r="E165" i="24"/>
  <c r="D165" i="24"/>
  <c r="O205" i="24"/>
  <c r="N205" i="24"/>
  <c r="M205" i="24"/>
  <c r="L205" i="24"/>
  <c r="K205" i="24"/>
  <c r="J205" i="24"/>
  <c r="I205" i="24"/>
  <c r="H205" i="24"/>
  <c r="G205" i="24"/>
  <c r="F205" i="24"/>
  <c r="O204" i="24"/>
  <c r="N204" i="24"/>
  <c r="M204" i="24"/>
  <c r="L204" i="24"/>
  <c r="K204" i="24"/>
  <c r="J204" i="24"/>
  <c r="I204" i="24"/>
  <c r="H204" i="24"/>
  <c r="G204" i="24"/>
  <c r="F204" i="24"/>
  <c r="O203" i="24"/>
  <c r="N203" i="24"/>
  <c r="M203" i="24"/>
  <c r="L203" i="24"/>
  <c r="K203" i="24"/>
  <c r="J203" i="24"/>
  <c r="I203" i="24"/>
  <c r="H203" i="24"/>
  <c r="G203" i="24"/>
  <c r="F203" i="24"/>
  <c r="O186" i="24"/>
  <c r="N186" i="24"/>
  <c r="M186" i="24"/>
  <c r="L186" i="24"/>
  <c r="K186" i="24"/>
  <c r="J186" i="24"/>
  <c r="I186" i="24"/>
  <c r="H186" i="24"/>
  <c r="G186" i="24"/>
  <c r="F186" i="24"/>
  <c r="O185" i="24"/>
  <c r="N185" i="24"/>
  <c r="M185" i="24"/>
  <c r="L185" i="24"/>
  <c r="K185" i="24"/>
  <c r="J185" i="24"/>
  <c r="I185" i="24"/>
  <c r="H185" i="24"/>
  <c r="G185" i="24"/>
  <c r="F185" i="24"/>
  <c r="O184" i="24"/>
  <c r="N184" i="24"/>
  <c r="M184" i="24"/>
  <c r="L184" i="24"/>
  <c r="K184" i="24"/>
  <c r="J184" i="24"/>
  <c r="I184" i="24"/>
  <c r="H184" i="24"/>
  <c r="G184" i="24"/>
  <c r="F184" i="24"/>
  <c r="O148" i="24"/>
  <c r="N148" i="24"/>
  <c r="M148" i="24"/>
  <c r="L148" i="24"/>
  <c r="K148" i="24"/>
  <c r="J148" i="24"/>
  <c r="I148" i="24"/>
  <c r="H148" i="24"/>
  <c r="G148" i="24"/>
  <c r="F148" i="24"/>
  <c r="O147" i="24"/>
  <c r="N147" i="24"/>
  <c r="M147" i="24"/>
  <c r="L147" i="24"/>
  <c r="K147" i="24"/>
  <c r="J147" i="24"/>
  <c r="I147" i="24"/>
  <c r="H147" i="24"/>
  <c r="G147" i="24"/>
  <c r="F147" i="24"/>
  <c r="O146" i="24"/>
  <c r="N146" i="24"/>
  <c r="M146" i="24"/>
  <c r="L146" i="24"/>
  <c r="K146" i="24"/>
  <c r="J146" i="24"/>
  <c r="I146" i="24"/>
  <c r="H146" i="24"/>
  <c r="G146" i="24"/>
  <c r="F146" i="24"/>
  <c r="O129" i="24"/>
  <c r="N129" i="24"/>
  <c r="M129" i="24"/>
  <c r="L129" i="24"/>
  <c r="K129" i="24"/>
  <c r="J129" i="24"/>
  <c r="I129" i="24"/>
  <c r="H129" i="24"/>
  <c r="G129" i="24"/>
  <c r="F129" i="24"/>
  <c r="O128" i="24"/>
  <c r="N128" i="24"/>
  <c r="M128" i="24"/>
  <c r="L128" i="24"/>
  <c r="K128" i="24"/>
  <c r="J128" i="24"/>
  <c r="I128" i="24"/>
  <c r="H128" i="24"/>
  <c r="G128" i="24"/>
  <c r="F128" i="24"/>
  <c r="O127" i="24"/>
  <c r="N127" i="24"/>
  <c r="M127" i="24"/>
  <c r="L127" i="24"/>
  <c r="K127" i="24"/>
  <c r="J127" i="24"/>
  <c r="I127" i="24"/>
  <c r="H127" i="24"/>
  <c r="G127" i="24"/>
  <c r="F127" i="24"/>
  <c r="O110" i="24"/>
  <c r="N110" i="24"/>
  <c r="M110" i="24"/>
  <c r="L110" i="24"/>
  <c r="K110" i="24"/>
  <c r="J110" i="24"/>
  <c r="I110" i="24"/>
  <c r="H110" i="24"/>
  <c r="G110" i="24"/>
  <c r="F110" i="24"/>
  <c r="E110" i="24"/>
  <c r="D110" i="24"/>
  <c r="O109" i="24"/>
  <c r="N109" i="24"/>
  <c r="M109" i="24"/>
  <c r="L109" i="24"/>
  <c r="K109" i="24"/>
  <c r="J109" i="24"/>
  <c r="I109" i="24"/>
  <c r="H109" i="24"/>
  <c r="G109" i="24"/>
  <c r="F109" i="24"/>
  <c r="E109" i="24"/>
  <c r="D109" i="24"/>
  <c r="O108" i="24"/>
  <c r="N108" i="24"/>
  <c r="M108" i="24"/>
  <c r="L108" i="24"/>
  <c r="K108" i="24"/>
  <c r="J108" i="24"/>
  <c r="I108" i="24"/>
  <c r="H108" i="24"/>
  <c r="G108" i="24"/>
  <c r="F108" i="24"/>
  <c r="E108" i="24"/>
  <c r="D108" i="24"/>
  <c r="O91" i="24"/>
  <c r="N91" i="24"/>
  <c r="M91" i="24"/>
  <c r="L91" i="24"/>
  <c r="K91" i="24"/>
  <c r="J91" i="24"/>
  <c r="I91" i="24"/>
  <c r="H91" i="24"/>
  <c r="G91" i="24"/>
  <c r="F91" i="24"/>
  <c r="E91" i="24"/>
  <c r="D91" i="24"/>
  <c r="O90" i="24"/>
  <c r="N90" i="24"/>
  <c r="M90" i="24"/>
  <c r="L90" i="24"/>
  <c r="K90" i="24"/>
  <c r="J90" i="24"/>
  <c r="I90" i="24"/>
  <c r="H90" i="24"/>
  <c r="G90" i="24"/>
  <c r="F90" i="24"/>
  <c r="E90" i="24"/>
  <c r="D90" i="24"/>
  <c r="O89" i="24"/>
  <c r="N89" i="24"/>
  <c r="M89" i="24"/>
  <c r="L89" i="24"/>
  <c r="K89" i="24"/>
  <c r="J89" i="24"/>
  <c r="I89" i="24"/>
  <c r="H89" i="24"/>
  <c r="G89" i="24"/>
  <c r="F89" i="24"/>
  <c r="E89" i="24"/>
  <c r="D89" i="24"/>
  <c r="O72" i="24"/>
  <c r="N72" i="24"/>
  <c r="M72" i="24"/>
  <c r="L72" i="24"/>
  <c r="K72" i="24"/>
  <c r="J72" i="24"/>
  <c r="I72" i="24"/>
  <c r="H72" i="24"/>
  <c r="G72" i="24"/>
  <c r="F72" i="24"/>
  <c r="E72" i="24"/>
  <c r="D72" i="24"/>
  <c r="O71" i="24"/>
  <c r="N71" i="24"/>
  <c r="M71" i="24"/>
  <c r="L71" i="24"/>
  <c r="K71" i="24"/>
  <c r="J71" i="24"/>
  <c r="I71" i="24"/>
  <c r="H71" i="24"/>
  <c r="G71" i="24"/>
  <c r="F71" i="24"/>
  <c r="E71" i="24"/>
  <c r="D71" i="24"/>
  <c r="O70" i="24"/>
  <c r="N70" i="24"/>
  <c r="M70" i="24"/>
  <c r="L70" i="24"/>
  <c r="K70" i="24"/>
  <c r="J70" i="24"/>
  <c r="I70" i="24"/>
  <c r="H70" i="24"/>
  <c r="G70" i="24"/>
  <c r="F70" i="24"/>
  <c r="E70" i="24"/>
  <c r="D70" i="24"/>
  <c r="O47" i="24"/>
  <c r="N47" i="24"/>
  <c r="M47" i="24"/>
  <c r="L47" i="24"/>
  <c r="K47" i="24"/>
  <c r="J47" i="24"/>
  <c r="I47" i="24"/>
  <c r="H47" i="24"/>
  <c r="G47" i="24"/>
  <c r="F47" i="24"/>
  <c r="E47" i="24"/>
  <c r="D47" i="24"/>
  <c r="O46" i="24"/>
  <c r="N46" i="24"/>
  <c r="M46" i="24"/>
  <c r="L46" i="24"/>
  <c r="K46" i="24"/>
  <c r="J46" i="24"/>
  <c r="I46" i="24"/>
  <c r="H46" i="24"/>
  <c r="G46" i="24"/>
  <c r="F46" i="24"/>
  <c r="E46" i="24"/>
  <c r="D46" i="24"/>
  <c r="O45" i="24"/>
  <c r="N45" i="24"/>
  <c r="M45" i="24"/>
  <c r="L45" i="24"/>
  <c r="K45" i="24"/>
  <c r="J45" i="24"/>
  <c r="I45" i="24"/>
  <c r="H45" i="24"/>
  <c r="G45" i="24"/>
  <c r="F45" i="24"/>
  <c r="E45" i="24"/>
  <c r="D45" i="24"/>
  <c r="E17" i="24"/>
  <c r="F17" i="24"/>
  <c r="G17" i="24"/>
  <c r="H17" i="24"/>
  <c r="I17" i="24"/>
  <c r="J17" i="24"/>
  <c r="K17" i="24"/>
  <c r="L17" i="24"/>
  <c r="M17" i="24"/>
  <c r="N17" i="24"/>
  <c r="O17" i="24"/>
  <c r="E18" i="24"/>
  <c r="F18" i="24"/>
  <c r="G18" i="24"/>
  <c r="H18" i="24"/>
  <c r="I18" i="24"/>
  <c r="J18" i="24"/>
  <c r="K18" i="24"/>
  <c r="L18" i="24"/>
  <c r="M18" i="24"/>
  <c r="N18" i="24"/>
  <c r="O18" i="24"/>
  <c r="E19" i="24"/>
  <c r="F19" i="24"/>
  <c r="G19" i="24"/>
  <c r="H19" i="24"/>
  <c r="I19" i="24"/>
  <c r="J19" i="24"/>
  <c r="K19" i="24"/>
  <c r="L19" i="24"/>
  <c r="M19" i="24"/>
  <c r="N19" i="24"/>
  <c r="O19" i="24"/>
  <c r="D19" i="24"/>
  <c r="D18" i="24"/>
  <c r="D17" i="24"/>
  <c r="O266" i="24"/>
  <c r="N266" i="24"/>
  <c r="M266" i="24"/>
  <c r="L266" i="24"/>
  <c r="K266" i="24"/>
  <c r="J266" i="24"/>
  <c r="I266" i="24"/>
  <c r="H266" i="24"/>
  <c r="G266" i="24"/>
  <c r="F266" i="24"/>
  <c r="E266" i="24"/>
  <c r="D266" i="24"/>
  <c r="O265" i="24"/>
  <c r="N265" i="24"/>
  <c r="M265" i="24"/>
  <c r="L265" i="24"/>
  <c r="K265" i="24"/>
  <c r="J265" i="24"/>
  <c r="I265" i="24"/>
  <c r="H265" i="24"/>
  <c r="G265" i="24"/>
  <c r="F265" i="24"/>
  <c r="E265" i="24"/>
  <c r="D265" i="24"/>
  <c r="O264" i="24"/>
  <c r="N264" i="24"/>
  <c r="M264" i="24"/>
  <c r="L264" i="24"/>
  <c r="K264" i="24"/>
  <c r="J264" i="24"/>
  <c r="I264" i="24"/>
  <c r="H264" i="24"/>
  <c r="G264" i="24"/>
  <c r="F264" i="24"/>
  <c r="E264" i="24"/>
  <c r="D264" i="24"/>
  <c r="O247" i="24"/>
  <c r="N247" i="24"/>
  <c r="M247" i="24"/>
  <c r="L247" i="24"/>
  <c r="K247" i="24"/>
  <c r="J247" i="24"/>
  <c r="I247" i="24"/>
  <c r="H247" i="24"/>
  <c r="G247" i="24"/>
  <c r="F247" i="24"/>
  <c r="E247" i="24"/>
  <c r="D247" i="24"/>
  <c r="O246" i="24"/>
  <c r="N246" i="24"/>
  <c r="M246" i="24"/>
  <c r="L246" i="24"/>
  <c r="K246" i="24"/>
  <c r="J246" i="24"/>
  <c r="I246" i="24"/>
  <c r="H246" i="24"/>
  <c r="G246" i="24"/>
  <c r="F246" i="24"/>
  <c r="E246" i="24"/>
  <c r="D246" i="24"/>
  <c r="O245" i="24"/>
  <c r="N245" i="24"/>
  <c r="M245" i="24"/>
  <c r="L245" i="24"/>
  <c r="K245" i="24"/>
  <c r="J245" i="24"/>
  <c r="I245" i="24"/>
  <c r="H245" i="24"/>
  <c r="G245" i="24"/>
  <c r="F245" i="24"/>
  <c r="E245" i="24"/>
  <c r="D245" i="24"/>
  <c r="O228" i="24"/>
  <c r="I228" i="24"/>
  <c r="M228" i="24"/>
  <c r="H228" i="24"/>
  <c r="L228" i="24"/>
  <c r="G228" i="24"/>
  <c r="J228" i="24"/>
  <c r="F228" i="24"/>
  <c r="O227" i="24"/>
  <c r="I227" i="24"/>
  <c r="M227" i="24"/>
  <c r="H227" i="24"/>
  <c r="L227" i="24"/>
  <c r="G227" i="24"/>
  <c r="J227" i="24"/>
  <c r="F227" i="24"/>
  <c r="O226" i="24"/>
  <c r="I226" i="24"/>
  <c r="M226" i="24"/>
  <c r="H226" i="24"/>
  <c r="L226" i="24"/>
  <c r="G226" i="24"/>
  <c r="J226" i="24"/>
  <c r="F226" i="24"/>
  <c r="O170" i="24"/>
  <c r="N170" i="24"/>
  <c r="M170" i="24"/>
  <c r="L170" i="24"/>
  <c r="K170" i="24"/>
  <c r="J170" i="24"/>
  <c r="I170" i="24"/>
  <c r="H170" i="24"/>
  <c r="G170" i="24"/>
  <c r="F170" i="24"/>
  <c r="E170" i="24"/>
  <c r="D170" i="24"/>
  <c r="O169" i="24"/>
  <c r="N169" i="24"/>
  <c r="M169" i="24"/>
  <c r="L169" i="24"/>
  <c r="K169" i="24"/>
  <c r="J169" i="24"/>
  <c r="I169" i="24"/>
  <c r="H169" i="24"/>
  <c r="G169" i="24"/>
  <c r="F169" i="24"/>
  <c r="E169" i="24"/>
  <c r="D169" i="24"/>
  <c r="O168" i="24"/>
  <c r="N168" i="24"/>
  <c r="M168" i="24"/>
  <c r="L168" i="24"/>
  <c r="K168" i="24"/>
  <c r="J168" i="24"/>
  <c r="I168" i="24"/>
  <c r="H168" i="24"/>
  <c r="G168" i="24"/>
  <c r="F168" i="24"/>
  <c r="E168" i="24"/>
  <c r="D168" i="24"/>
  <c r="O208" i="24"/>
  <c r="N208" i="24"/>
  <c r="M208" i="24"/>
  <c r="L208" i="24"/>
  <c r="K208" i="24"/>
  <c r="J208" i="24"/>
  <c r="I208" i="24"/>
  <c r="H208" i="24"/>
  <c r="G208" i="24"/>
  <c r="F208" i="24"/>
  <c r="O207" i="24"/>
  <c r="N207" i="24"/>
  <c r="M207" i="24"/>
  <c r="L207" i="24"/>
  <c r="K207" i="24"/>
  <c r="J207" i="24"/>
  <c r="I207" i="24"/>
  <c r="H207" i="24"/>
  <c r="G207" i="24"/>
  <c r="F207" i="24"/>
  <c r="O206" i="24"/>
  <c r="N206" i="24"/>
  <c r="M206" i="24"/>
  <c r="L206" i="24"/>
  <c r="K206" i="24"/>
  <c r="J206" i="24"/>
  <c r="I206" i="24"/>
  <c r="H206" i="24"/>
  <c r="G206" i="24"/>
  <c r="F206" i="24"/>
  <c r="O189" i="24"/>
  <c r="N189" i="24"/>
  <c r="M189" i="24"/>
  <c r="L189" i="24"/>
  <c r="K189" i="24"/>
  <c r="J189" i="24"/>
  <c r="I189" i="24"/>
  <c r="H189" i="24"/>
  <c r="G189" i="24"/>
  <c r="F189" i="24"/>
  <c r="O188" i="24"/>
  <c r="N188" i="24"/>
  <c r="M188" i="24"/>
  <c r="L188" i="24"/>
  <c r="K188" i="24"/>
  <c r="J188" i="24"/>
  <c r="I188" i="24"/>
  <c r="H188" i="24"/>
  <c r="G188" i="24"/>
  <c r="F188" i="24"/>
  <c r="O187" i="24"/>
  <c r="N187" i="24"/>
  <c r="M187" i="24"/>
  <c r="L187" i="24"/>
  <c r="K187" i="24"/>
  <c r="J187" i="24"/>
  <c r="I187" i="24"/>
  <c r="H187" i="24"/>
  <c r="G187" i="24"/>
  <c r="F187" i="24"/>
  <c r="O151" i="24"/>
  <c r="N151" i="24"/>
  <c r="M151" i="24"/>
  <c r="L151" i="24"/>
  <c r="K151" i="24"/>
  <c r="J151" i="24"/>
  <c r="I151" i="24"/>
  <c r="H151" i="24"/>
  <c r="G151" i="24"/>
  <c r="F151" i="24"/>
  <c r="O150" i="24"/>
  <c r="N150" i="24"/>
  <c r="M150" i="24"/>
  <c r="L150" i="24"/>
  <c r="K150" i="24"/>
  <c r="J150" i="24"/>
  <c r="I150" i="24"/>
  <c r="H150" i="24"/>
  <c r="G150" i="24"/>
  <c r="F150" i="24"/>
  <c r="O149" i="24"/>
  <c r="N149" i="24"/>
  <c r="M149" i="24"/>
  <c r="L149" i="24"/>
  <c r="K149" i="24"/>
  <c r="J149" i="24"/>
  <c r="I149" i="24"/>
  <c r="H149" i="24"/>
  <c r="G149" i="24"/>
  <c r="F149" i="24"/>
  <c r="O132" i="24"/>
  <c r="N132" i="24"/>
  <c r="M132" i="24"/>
  <c r="L132" i="24"/>
  <c r="K132" i="24"/>
  <c r="J132" i="24"/>
  <c r="I132" i="24"/>
  <c r="H132" i="24"/>
  <c r="G132" i="24"/>
  <c r="F132" i="24"/>
  <c r="O131" i="24"/>
  <c r="N131" i="24"/>
  <c r="M131" i="24"/>
  <c r="L131" i="24"/>
  <c r="K131" i="24"/>
  <c r="J131" i="24"/>
  <c r="I131" i="24"/>
  <c r="H131" i="24"/>
  <c r="G131" i="24"/>
  <c r="F131" i="24"/>
  <c r="O130" i="24"/>
  <c r="N130" i="24"/>
  <c r="M130" i="24"/>
  <c r="L130" i="24"/>
  <c r="K130" i="24"/>
  <c r="J130" i="24"/>
  <c r="I130" i="24"/>
  <c r="H130" i="24"/>
  <c r="G130" i="24"/>
  <c r="F130" i="24"/>
  <c r="O113" i="24"/>
  <c r="N113" i="24"/>
  <c r="M113" i="24"/>
  <c r="L113" i="24"/>
  <c r="K113" i="24"/>
  <c r="J113" i="24"/>
  <c r="I113" i="24"/>
  <c r="H113" i="24"/>
  <c r="G113" i="24"/>
  <c r="F113" i="24"/>
  <c r="E113" i="24"/>
  <c r="D113" i="24"/>
  <c r="O112" i="24"/>
  <c r="N112" i="24"/>
  <c r="M112" i="24"/>
  <c r="L112" i="24"/>
  <c r="K112" i="24"/>
  <c r="J112" i="24"/>
  <c r="I112" i="24"/>
  <c r="H112" i="24"/>
  <c r="G112" i="24"/>
  <c r="F112" i="24"/>
  <c r="E112" i="24"/>
  <c r="D112" i="24"/>
  <c r="O111" i="24"/>
  <c r="N111" i="24"/>
  <c r="M111" i="24"/>
  <c r="L111" i="24"/>
  <c r="K111" i="24"/>
  <c r="J111" i="24"/>
  <c r="I111" i="24"/>
  <c r="H111" i="24"/>
  <c r="G111" i="24"/>
  <c r="F111" i="24"/>
  <c r="E111" i="24"/>
  <c r="D111" i="24"/>
  <c r="O94" i="24"/>
  <c r="N94" i="24"/>
  <c r="M94" i="24"/>
  <c r="L94" i="24"/>
  <c r="K94" i="24"/>
  <c r="J94" i="24"/>
  <c r="I94" i="24"/>
  <c r="H94" i="24"/>
  <c r="G94" i="24"/>
  <c r="F94" i="24"/>
  <c r="E94" i="24"/>
  <c r="D94" i="24"/>
  <c r="O93" i="24"/>
  <c r="N93" i="24"/>
  <c r="M93" i="24"/>
  <c r="L93" i="24"/>
  <c r="K93" i="24"/>
  <c r="J93" i="24"/>
  <c r="I93" i="24"/>
  <c r="H93" i="24"/>
  <c r="G93" i="24"/>
  <c r="F93" i="24"/>
  <c r="E93" i="24"/>
  <c r="D93" i="24"/>
  <c r="O92" i="24"/>
  <c r="N92" i="24"/>
  <c r="M92" i="24"/>
  <c r="L92" i="24"/>
  <c r="K92" i="24"/>
  <c r="J92" i="24"/>
  <c r="I92" i="24"/>
  <c r="H92" i="24"/>
  <c r="G92" i="24"/>
  <c r="F92" i="24"/>
  <c r="E92" i="24"/>
  <c r="D92" i="24"/>
  <c r="O75" i="24"/>
  <c r="N75" i="24"/>
  <c r="M75" i="24"/>
  <c r="L75" i="24"/>
  <c r="K75" i="24"/>
  <c r="J75" i="24"/>
  <c r="I75" i="24"/>
  <c r="H75" i="24"/>
  <c r="G75" i="24"/>
  <c r="F75" i="24"/>
  <c r="E75" i="24"/>
  <c r="D75" i="24"/>
  <c r="O74" i="24"/>
  <c r="N74" i="24"/>
  <c r="M74" i="24"/>
  <c r="L74" i="24"/>
  <c r="K74" i="24"/>
  <c r="J74" i="24"/>
  <c r="I74" i="24"/>
  <c r="H74" i="24"/>
  <c r="G74" i="24"/>
  <c r="F74" i="24"/>
  <c r="E74" i="24"/>
  <c r="D74" i="24"/>
  <c r="O73" i="24"/>
  <c r="N73" i="24"/>
  <c r="M73" i="24"/>
  <c r="L73" i="24"/>
  <c r="K73" i="24"/>
  <c r="J73" i="24"/>
  <c r="I73" i="24"/>
  <c r="H73" i="24"/>
  <c r="G73" i="24"/>
  <c r="F73" i="24"/>
  <c r="E73" i="24"/>
  <c r="D73" i="24"/>
  <c r="O50" i="24"/>
  <c r="N50" i="24"/>
  <c r="M50" i="24"/>
  <c r="L50" i="24"/>
  <c r="K50" i="24"/>
  <c r="J50" i="24"/>
  <c r="I50" i="24"/>
  <c r="H50" i="24"/>
  <c r="G50" i="24"/>
  <c r="F50" i="24"/>
  <c r="E50" i="24"/>
  <c r="D50" i="24"/>
  <c r="O49" i="24"/>
  <c r="N49" i="24"/>
  <c r="M49" i="24"/>
  <c r="L49" i="24"/>
  <c r="K49" i="24"/>
  <c r="J49" i="24"/>
  <c r="I49" i="24"/>
  <c r="H49" i="24"/>
  <c r="G49" i="24"/>
  <c r="F49" i="24"/>
  <c r="E49" i="24"/>
  <c r="D49" i="24"/>
  <c r="O48" i="24"/>
  <c r="N48" i="24"/>
  <c r="M48" i="24"/>
  <c r="L48" i="24"/>
  <c r="K48" i="24"/>
  <c r="J48" i="24"/>
  <c r="I48" i="24"/>
  <c r="H48" i="24"/>
  <c r="G48" i="24"/>
  <c r="F48" i="24"/>
  <c r="E48" i="24"/>
  <c r="D48" i="24"/>
  <c r="E20" i="24"/>
  <c r="F20" i="24"/>
  <c r="G20" i="24"/>
  <c r="H20" i="24"/>
  <c r="I20" i="24"/>
  <c r="J20" i="24"/>
  <c r="K20" i="24"/>
  <c r="L20" i="24"/>
  <c r="M20" i="24"/>
  <c r="N20" i="24"/>
  <c r="O20" i="24"/>
  <c r="E21" i="24"/>
  <c r="F21" i="24"/>
  <c r="G21" i="24"/>
  <c r="H21" i="24"/>
  <c r="I21" i="24"/>
  <c r="J21" i="24"/>
  <c r="K21" i="24"/>
  <c r="L21" i="24"/>
  <c r="M21" i="24"/>
  <c r="N21" i="24"/>
  <c r="O21" i="24"/>
  <c r="E22" i="24"/>
  <c r="F22" i="24"/>
  <c r="G22" i="24"/>
  <c r="H22" i="24"/>
  <c r="I22" i="24"/>
  <c r="J22" i="24"/>
  <c r="K22" i="24"/>
  <c r="L22" i="24"/>
  <c r="M22" i="24"/>
  <c r="N22" i="24"/>
  <c r="O22" i="24"/>
  <c r="D22" i="24"/>
  <c r="D21" i="24"/>
  <c r="D20" i="24"/>
  <c r="O257" i="24"/>
  <c r="N257" i="24"/>
  <c r="M257" i="24"/>
  <c r="L257" i="24"/>
  <c r="K257" i="24"/>
  <c r="J257" i="24"/>
  <c r="I257" i="24"/>
  <c r="H257" i="24"/>
  <c r="G257" i="24"/>
  <c r="F257" i="24"/>
  <c r="E257" i="24"/>
  <c r="H256" i="24"/>
  <c r="H268" i="24" s="1"/>
  <c r="G256" i="24"/>
  <c r="D256" i="24"/>
  <c r="O255" i="24"/>
  <c r="N255" i="24"/>
  <c r="M255" i="24"/>
  <c r="L255" i="24"/>
  <c r="K255" i="24"/>
  <c r="J255" i="24"/>
  <c r="I255" i="24"/>
  <c r="H255" i="24"/>
  <c r="G255" i="24"/>
  <c r="F255" i="24"/>
  <c r="E255" i="24"/>
  <c r="D255" i="24"/>
  <c r="O238" i="24"/>
  <c r="N238" i="24"/>
  <c r="M238" i="24"/>
  <c r="L238" i="24"/>
  <c r="K238" i="24"/>
  <c r="J238" i="24"/>
  <c r="I238" i="24"/>
  <c r="H238" i="24"/>
  <c r="G238" i="24"/>
  <c r="F238" i="24"/>
  <c r="E238" i="24"/>
  <c r="D238" i="24"/>
  <c r="O237" i="24"/>
  <c r="N237" i="24"/>
  <c r="M237" i="24"/>
  <c r="L237" i="24"/>
  <c r="K237" i="24"/>
  <c r="J237" i="24"/>
  <c r="I237" i="24"/>
  <c r="H237" i="24"/>
  <c r="G237" i="24"/>
  <c r="F237" i="24"/>
  <c r="E237" i="24"/>
  <c r="D237" i="24"/>
  <c r="O236" i="24"/>
  <c r="N236" i="24"/>
  <c r="M236" i="24"/>
  <c r="L236" i="24"/>
  <c r="K236" i="24"/>
  <c r="J236" i="24"/>
  <c r="I236" i="24"/>
  <c r="H236" i="24"/>
  <c r="G236" i="24"/>
  <c r="F236" i="24"/>
  <c r="E236" i="24"/>
  <c r="D236" i="24"/>
  <c r="I219" i="24"/>
  <c r="H219" i="24"/>
  <c r="G219" i="24"/>
  <c r="F219" i="24"/>
  <c r="I218" i="24"/>
  <c r="H218" i="24"/>
  <c r="G218" i="24"/>
  <c r="F218" i="24"/>
  <c r="O217" i="24"/>
  <c r="I217" i="24"/>
  <c r="M217" i="24"/>
  <c r="H217" i="24"/>
  <c r="L217" i="24"/>
  <c r="G217" i="24"/>
  <c r="J217" i="24"/>
  <c r="F217" i="24"/>
  <c r="O161" i="24"/>
  <c r="N161" i="24"/>
  <c r="M161" i="24"/>
  <c r="L161" i="24"/>
  <c r="K161" i="24"/>
  <c r="J161" i="24"/>
  <c r="I161" i="24"/>
  <c r="H161" i="24"/>
  <c r="G161" i="24"/>
  <c r="F161" i="24"/>
  <c r="E161" i="24"/>
  <c r="D161" i="24"/>
  <c r="O160" i="24"/>
  <c r="N160" i="24"/>
  <c r="M160" i="24"/>
  <c r="L160" i="24"/>
  <c r="K160" i="24"/>
  <c r="J160" i="24"/>
  <c r="I160" i="24"/>
  <c r="H160" i="24"/>
  <c r="G160" i="24"/>
  <c r="F160" i="24"/>
  <c r="E160" i="24"/>
  <c r="D160" i="24"/>
  <c r="O159" i="24"/>
  <c r="N159" i="24"/>
  <c r="M159" i="24"/>
  <c r="L159" i="24"/>
  <c r="K159" i="24"/>
  <c r="J159" i="24"/>
  <c r="I159" i="24"/>
  <c r="H159" i="24"/>
  <c r="G159" i="24"/>
  <c r="F159" i="24"/>
  <c r="E159" i="24"/>
  <c r="D159" i="24"/>
  <c r="E248" i="24" l="1"/>
  <c r="J277" i="24" s="1"/>
  <c r="L7" i="28" s="1"/>
  <c r="D249" i="24"/>
  <c r="J274" i="24" s="1"/>
  <c r="L21" i="28" s="1"/>
  <c r="G248" i="24"/>
  <c r="N285" i="24" s="1"/>
  <c r="P9" i="28" s="1"/>
  <c r="H248" i="24"/>
  <c r="J248" i="24"/>
  <c r="N297" i="24" s="1"/>
  <c r="P12" i="28" s="1"/>
  <c r="H269" i="24"/>
  <c r="O291" i="24" s="1"/>
  <c r="Q40" i="28" s="1"/>
  <c r="H267" i="24"/>
  <c r="O289" i="24" s="1"/>
  <c r="Q10" i="28" s="1"/>
  <c r="G250" i="24"/>
  <c r="N287" i="24" s="1"/>
  <c r="P39" i="28" s="1"/>
  <c r="D248" i="24"/>
  <c r="J273" i="24" s="1"/>
  <c r="L6" i="28" s="1"/>
  <c r="J229" i="24"/>
  <c r="E249" i="24"/>
  <c r="J278" i="24" s="1"/>
  <c r="L22" i="28" s="1"/>
  <c r="G267" i="24"/>
  <c r="O285" i="24" s="1"/>
  <c r="Q9" i="28" s="1"/>
  <c r="I269" i="24"/>
  <c r="O295" i="24" s="1"/>
  <c r="Q41" i="28" s="1"/>
  <c r="M269" i="24"/>
  <c r="O311" i="24" s="1"/>
  <c r="Q45" i="28" s="1"/>
  <c r="F269" i="24"/>
  <c r="O283" i="24" s="1"/>
  <c r="Q38" i="28" s="1"/>
  <c r="J269" i="24"/>
  <c r="O299" i="24" s="1"/>
  <c r="Q42" i="28" s="1"/>
  <c r="N269" i="24"/>
  <c r="O315" i="24" s="1"/>
  <c r="Q46" i="28" s="1"/>
  <c r="O290" i="24"/>
  <c r="Q25" i="28" s="1"/>
  <c r="L269" i="24"/>
  <c r="O307" i="24" s="1"/>
  <c r="Q44" i="28" s="1"/>
  <c r="G268" i="24"/>
  <c r="O286" i="24" s="1"/>
  <c r="Q24" i="28" s="1"/>
  <c r="G269" i="24"/>
  <c r="O287" i="24" s="1"/>
  <c r="Q39" i="28" s="1"/>
  <c r="K269" i="24"/>
  <c r="O303" i="24" s="1"/>
  <c r="Q43" i="28" s="1"/>
  <c r="O269" i="24"/>
  <c r="O319" i="24" s="1"/>
  <c r="Q47" i="28" s="1"/>
  <c r="O248" i="24"/>
  <c r="N317" i="24" s="1"/>
  <c r="P17" i="28" s="1"/>
  <c r="K267" i="24"/>
  <c r="O301" i="24" s="1"/>
  <c r="Q13" i="28" s="1"/>
  <c r="O267" i="24"/>
  <c r="O317" i="24" s="1"/>
  <c r="Q17" i="28" s="1"/>
  <c r="K248" i="24"/>
  <c r="N301" i="24" s="1"/>
  <c r="P13" i="28" s="1"/>
  <c r="N289" i="24"/>
  <c r="P10" i="28" s="1"/>
  <c r="L248" i="24"/>
  <c r="N305" i="24" s="1"/>
  <c r="P14" i="28" s="1"/>
  <c r="D250" i="24"/>
  <c r="J275" i="24" s="1"/>
  <c r="L36" i="28" s="1"/>
  <c r="L267" i="24"/>
  <c r="O305" i="24" s="1"/>
  <c r="Q14" i="28" s="1"/>
  <c r="I248" i="24"/>
  <c r="N293" i="24" s="1"/>
  <c r="P11" i="28" s="1"/>
  <c r="I267" i="24"/>
  <c r="O293" i="24" s="1"/>
  <c r="Q11" i="28" s="1"/>
  <c r="M267" i="24"/>
  <c r="O309" i="24" s="1"/>
  <c r="Q15" i="28" s="1"/>
  <c r="F248" i="24"/>
  <c r="N281" i="24" s="1"/>
  <c r="P8" i="28" s="1"/>
  <c r="N248" i="24"/>
  <c r="N313" i="24" s="1"/>
  <c r="P16" i="28" s="1"/>
  <c r="F267" i="24"/>
  <c r="O281" i="24" s="1"/>
  <c r="Q8" i="28" s="1"/>
  <c r="J267" i="24"/>
  <c r="O297" i="24" s="1"/>
  <c r="Q12" i="28" s="1"/>
  <c r="N267" i="24"/>
  <c r="O313" i="24" s="1"/>
  <c r="Q16" i="28" s="1"/>
  <c r="M248" i="24"/>
  <c r="N309" i="24" s="1"/>
  <c r="P15" i="28" s="1"/>
  <c r="O199" i="24"/>
  <c r="N199" i="24"/>
  <c r="M199" i="24"/>
  <c r="L199" i="24"/>
  <c r="K199" i="24"/>
  <c r="J199" i="24"/>
  <c r="I199" i="24"/>
  <c r="H199" i="24"/>
  <c r="G199" i="24"/>
  <c r="F199" i="24"/>
  <c r="O198" i="24"/>
  <c r="N198" i="24"/>
  <c r="M198" i="24"/>
  <c r="L198" i="24"/>
  <c r="K198" i="24"/>
  <c r="J198" i="24"/>
  <c r="I198" i="24"/>
  <c r="H198" i="24"/>
  <c r="G198" i="24"/>
  <c r="F198" i="24"/>
  <c r="O197" i="24"/>
  <c r="N197" i="24"/>
  <c r="M197" i="24"/>
  <c r="L197" i="24"/>
  <c r="K197" i="24"/>
  <c r="J197" i="24"/>
  <c r="I197" i="24"/>
  <c r="H197" i="24"/>
  <c r="G197" i="24"/>
  <c r="F197" i="24"/>
  <c r="O180" i="24"/>
  <c r="N180" i="24"/>
  <c r="M180" i="24"/>
  <c r="L180" i="24"/>
  <c r="K180" i="24"/>
  <c r="J180" i="24"/>
  <c r="I180" i="24"/>
  <c r="H180" i="24"/>
  <c r="G180" i="24"/>
  <c r="F180" i="24"/>
  <c r="O179" i="24"/>
  <c r="N179" i="24"/>
  <c r="M179" i="24"/>
  <c r="L179" i="24"/>
  <c r="K179" i="24"/>
  <c r="K191" i="24" s="1"/>
  <c r="J179" i="24"/>
  <c r="I179" i="24"/>
  <c r="H179" i="24"/>
  <c r="G179" i="24"/>
  <c r="F179" i="24"/>
  <c r="O178" i="24"/>
  <c r="N178" i="24"/>
  <c r="M178" i="24"/>
  <c r="L178" i="24"/>
  <c r="K178" i="24"/>
  <c r="J178" i="24"/>
  <c r="I178" i="24"/>
  <c r="H178" i="24"/>
  <c r="G178" i="24"/>
  <c r="F178" i="24"/>
  <c r="G141" i="24"/>
  <c r="O123" i="24"/>
  <c r="N123" i="24"/>
  <c r="M123" i="24"/>
  <c r="L123" i="24"/>
  <c r="K123" i="24"/>
  <c r="J123" i="24"/>
  <c r="I123" i="24"/>
  <c r="H123" i="24"/>
  <c r="G123" i="24"/>
  <c r="F123" i="24"/>
  <c r="O122" i="24"/>
  <c r="N122" i="24"/>
  <c r="M122" i="24"/>
  <c r="L122" i="24"/>
  <c r="K122" i="24"/>
  <c r="J122" i="24"/>
  <c r="I122" i="24"/>
  <c r="H122" i="24"/>
  <c r="G122" i="24"/>
  <c r="F122" i="24"/>
  <c r="O121" i="24"/>
  <c r="N121" i="24"/>
  <c r="M121" i="24"/>
  <c r="L121" i="24"/>
  <c r="K121" i="24"/>
  <c r="J121" i="24"/>
  <c r="I121" i="24"/>
  <c r="H121" i="24"/>
  <c r="G121" i="24"/>
  <c r="F121" i="24"/>
  <c r="O104" i="24"/>
  <c r="N104" i="24"/>
  <c r="M104" i="24"/>
  <c r="L104" i="24"/>
  <c r="K104" i="24"/>
  <c r="J104" i="24"/>
  <c r="I104" i="24"/>
  <c r="H104" i="24"/>
  <c r="G104" i="24"/>
  <c r="F104" i="24"/>
  <c r="E104" i="24"/>
  <c r="D104" i="24"/>
  <c r="O103" i="24"/>
  <c r="N103" i="24"/>
  <c r="M103" i="24"/>
  <c r="L103" i="24"/>
  <c r="K103" i="24"/>
  <c r="J103" i="24"/>
  <c r="I103" i="24"/>
  <c r="H103" i="24"/>
  <c r="G103" i="24"/>
  <c r="F103" i="24"/>
  <c r="O102" i="24"/>
  <c r="M102" i="24"/>
  <c r="L102" i="24"/>
  <c r="K102" i="24"/>
  <c r="J102" i="24"/>
  <c r="I102" i="24"/>
  <c r="H102" i="24"/>
  <c r="G102" i="24"/>
  <c r="F102" i="24"/>
  <c r="E102" i="24"/>
  <c r="D102" i="24"/>
  <c r="H287" i="22"/>
  <c r="J306" i="4" l="1"/>
  <c r="G306" i="4"/>
  <c r="D306" i="4"/>
  <c r="D298" i="4"/>
  <c r="I297" i="4"/>
  <c r="G297" i="4"/>
  <c r="J297" i="4" s="1"/>
  <c r="I296" i="4"/>
  <c r="G296" i="4"/>
  <c r="J296" i="4" s="1"/>
  <c r="I295" i="4"/>
  <c r="G295" i="4"/>
  <c r="J295" i="4" s="1"/>
  <c r="J294" i="4"/>
  <c r="I294" i="4"/>
  <c r="I293" i="4"/>
  <c r="G293" i="4"/>
  <c r="J293" i="4" s="1"/>
  <c r="J292" i="4"/>
  <c r="I292" i="4"/>
  <c r="I291" i="4"/>
  <c r="G291" i="4"/>
  <c r="J291" i="4" s="1"/>
  <c r="I290" i="4"/>
  <c r="G290" i="4"/>
  <c r="J290" i="4" s="1"/>
  <c r="I289" i="4"/>
  <c r="G289" i="4"/>
  <c r="G274" i="4"/>
  <c r="J274" i="4" s="1"/>
  <c r="G273" i="4"/>
  <c r="J273" i="4" s="1"/>
  <c r="G271" i="4"/>
  <c r="J271" i="4" s="1"/>
  <c r="G253" i="4"/>
  <c r="G252" i="4"/>
  <c r="G243" i="4"/>
  <c r="G258" i="4" s="1"/>
  <c r="D243" i="4"/>
  <c r="D258" i="4" s="1"/>
  <c r="G242" i="4"/>
  <c r="G257" i="4" s="1"/>
  <c r="G241" i="4"/>
  <c r="D241" i="4"/>
  <c r="D256" i="4" s="1"/>
  <c r="J236" i="4"/>
  <c r="G236" i="4"/>
  <c r="D236" i="4"/>
  <c r="J229" i="4"/>
  <c r="D229" i="4"/>
  <c r="G228" i="4"/>
  <c r="G227" i="4"/>
  <c r="G226" i="4"/>
  <c r="G224" i="4"/>
  <c r="G222" i="4"/>
  <c r="G221" i="4"/>
  <c r="G220" i="4"/>
  <c r="G199" i="4"/>
  <c r="J199" i="4" s="1"/>
  <c r="G198" i="4"/>
  <c r="J198" i="4" s="1"/>
  <c r="G196" i="4"/>
  <c r="J196" i="4" s="1"/>
  <c r="G178" i="4"/>
  <c r="G168" i="4"/>
  <c r="G183" i="4" s="1"/>
  <c r="D168" i="4"/>
  <c r="D183" i="4" s="1"/>
  <c r="G166" i="4"/>
  <c r="G181" i="4" s="1"/>
  <c r="D166" i="4"/>
  <c r="D181" i="4" s="1"/>
  <c r="D190" i="4" s="1"/>
  <c r="J161" i="4"/>
  <c r="G161" i="4"/>
  <c r="E161" i="4"/>
  <c r="H161" i="4" s="1"/>
  <c r="D160" i="4"/>
  <c r="D157" i="4"/>
  <c r="J154" i="4"/>
  <c r="D154" i="4"/>
  <c r="G153" i="4"/>
  <c r="G152" i="4"/>
  <c r="G151" i="4"/>
  <c r="G149" i="4"/>
  <c r="G147" i="4"/>
  <c r="G146" i="4"/>
  <c r="G145" i="4"/>
  <c r="G133" i="4"/>
  <c r="J133" i="4" s="1"/>
  <c r="G132" i="4"/>
  <c r="J132" i="4" s="1"/>
  <c r="G131" i="4"/>
  <c r="J131" i="4" s="1"/>
  <c r="G130" i="4"/>
  <c r="J130" i="4" s="1"/>
  <c r="G129" i="4"/>
  <c r="J129" i="4" s="1"/>
  <c r="G126" i="4"/>
  <c r="J126" i="4" s="1"/>
  <c r="G125" i="4"/>
  <c r="J125" i="4" s="1"/>
  <c r="G99" i="4"/>
  <c r="G98" i="4"/>
  <c r="G87" i="4"/>
  <c r="J87" i="4" s="1"/>
  <c r="D87" i="4"/>
  <c r="G84" i="4"/>
  <c r="J84" i="4" s="1"/>
  <c r="D84" i="4"/>
  <c r="G83" i="4"/>
  <c r="J83" i="4" s="1"/>
  <c r="D83" i="4"/>
  <c r="G82" i="4"/>
  <c r="J82" i="4" s="1"/>
  <c r="D82" i="4"/>
  <c r="G79" i="4"/>
  <c r="J79" i="4" s="1"/>
  <c r="D79" i="4"/>
  <c r="J205" i="4" l="1"/>
  <c r="G256" i="4"/>
  <c r="G265" i="4" s="1"/>
  <c r="G250" i="4"/>
  <c r="J134" i="4"/>
  <c r="J277" i="4"/>
  <c r="G190" i="4"/>
  <c r="D265" i="4"/>
  <c r="J169" i="4"/>
  <c r="J244" i="4"/>
  <c r="J166" i="4"/>
  <c r="J241" i="4"/>
  <c r="J170" i="4"/>
  <c r="J245" i="4"/>
  <c r="J174" i="4"/>
  <c r="J249" i="4"/>
  <c r="J171" i="4"/>
  <c r="J246" i="4"/>
  <c r="D161" i="4"/>
  <c r="G175" i="4"/>
  <c r="D250" i="4"/>
  <c r="G298" i="4"/>
  <c r="D96" i="4"/>
  <c r="G134" i="4"/>
  <c r="J96" i="4"/>
  <c r="D175" i="4"/>
  <c r="G154" i="4"/>
  <c r="G205" i="4"/>
  <c r="G96" i="4"/>
  <c r="G229" i="4"/>
  <c r="G277" i="4"/>
  <c r="J289" i="4"/>
  <c r="J298" i="4" s="1"/>
  <c r="J250" i="4" l="1"/>
  <c r="J175" i="4"/>
  <c r="G142" i="24"/>
  <c r="K52" i="27"/>
  <c r="E241" i="24" s="1"/>
  <c r="D257" i="24"/>
  <c r="E256" i="24"/>
  <c r="K55" i="27"/>
  <c r="H241" i="24" s="1"/>
  <c r="H250" i="24" s="1"/>
  <c r="N291" i="24" s="1"/>
  <c r="P40" i="28" s="1"/>
  <c r="K56" i="27"/>
  <c r="I241" i="24" s="1"/>
  <c r="I250" i="24" s="1"/>
  <c r="N295" i="24" s="1"/>
  <c r="P41" i="28" s="1"/>
  <c r="K57" i="27"/>
  <c r="J241" i="24" s="1"/>
  <c r="J250" i="24" s="1"/>
  <c r="N299" i="24" s="1"/>
  <c r="P42" i="28" s="1"/>
  <c r="K58" i="27"/>
  <c r="K241" i="24" s="1"/>
  <c r="K250" i="24" s="1"/>
  <c r="N303" i="24" s="1"/>
  <c r="P43" i="28" s="1"/>
  <c r="K59" i="27"/>
  <c r="L241" i="24" s="1"/>
  <c r="L250" i="24" s="1"/>
  <c r="N307" i="24" s="1"/>
  <c r="P44" i="28" s="1"/>
  <c r="K60" i="27"/>
  <c r="M241" i="24" s="1"/>
  <c r="M250" i="24" s="1"/>
  <c r="N311" i="24" s="1"/>
  <c r="P45" i="28" s="1"/>
  <c r="K61" i="27"/>
  <c r="N241" i="24" s="1"/>
  <c r="N250" i="24" s="1"/>
  <c r="N315" i="24" s="1"/>
  <c r="P46" i="28" s="1"/>
  <c r="K62" i="27"/>
  <c r="O241" i="24" s="1"/>
  <c r="O250" i="24" s="1"/>
  <c r="N319" i="24" s="1"/>
  <c r="P47" i="28" s="1"/>
  <c r="K53" i="27"/>
  <c r="F241" i="24" s="1"/>
  <c r="F250" i="24" l="1"/>
  <c r="N283" i="24" s="1"/>
  <c r="P38" i="28" s="1"/>
  <c r="E250" i="24"/>
  <c r="J279" i="24" s="1"/>
  <c r="L37" i="28" s="1"/>
  <c r="F169" i="27"/>
  <c r="F165" i="27"/>
  <c r="F164" i="27"/>
  <c r="J54" i="27" l="1"/>
  <c r="G240" i="24" s="1"/>
  <c r="J55" i="27"/>
  <c r="H240" i="24" s="1"/>
  <c r="J56" i="27"/>
  <c r="I240" i="24" s="1"/>
  <c r="I249" i="24" s="1"/>
  <c r="N294" i="24" s="1"/>
  <c r="P26" i="28" s="1"/>
  <c r="J57" i="27"/>
  <c r="J240" i="24" s="1"/>
  <c r="J58" i="27"/>
  <c r="K240" i="24" s="1"/>
  <c r="K249" i="24" s="1"/>
  <c r="N302" i="24" s="1"/>
  <c r="P28" i="28" s="1"/>
  <c r="J59" i="27"/>
  <c r="L240" i="24" s="1"/>
  <c r="L249" i="24" s="1"/>
  <c r="N306" i="24" s="1"/>
  <c r="P29" i="28" s="1"/>
  <c r="J60" i="27"/>
  <c r="M240" i="24" s="1"/>
  <c r="M249" i="24" s="1"/>
  <c r="N310" i="24" s="1"/>
  <c r="P30" i="28" s="1"/>
  <c r="J61" i="27"/>
  <c r="N240" i="24" s="1"/>
  <c r="N249" i="24" s="1"/>
  <c r="N314" i="24" s="1"/>
  <c r="P31" i="28" s="1"/>
  <c r="J62" i="27"/>
  <c r="O240" i="24" s="1"/>
  <c r="O249" i="24" s="1"/>
  <c r="N318" i="24" s="1"/>
  <c r="P32" i="28" s="1"/>
  <c r="J53" i="27"/>
  <c r="F240" i="24" s="1"/>
  <c r="F256" i="24"/>
  <c r="F268" i="24" s="1"/>
  <c r="O282" i="24" s="1"/>
  <c r="Q23" i="28" s="1"/>
  <c r="O256" i="24"/>
  <c r="O268" i="24" s="1"/>
  <c r="O318" i="24" s="1"/>
  <c r="Q32" i="28" s="1"/>
  <c r="N256" i="24"/>
  <c r="N268" i="24" s="1"/>
  <c r="O314" i="24" s="1"/>
  <c r="Q31" i="28" s="1"/>
  <c r="M256" i="24"/>
  <c r="M268" i="24" s="1"/>
  <c r="O310" i="24" s="1"/>
  <c r="Q30" i="28" s="1"/>
  <c r="L256" i="24"/>
  <c r="L268" i="24" s="1"/>
  <c r="O306" i="24" s="1"/>
  <c r="Q29" i="28" s="1"/>
  <c r="K256" i="24"/>
  <c r="K268" i="24" s="1"/>
  <c r="O302" i="24" s="1"/>
  <c r="Q28" i="28" s="1"/>
  <c r="J256" i="24"/>
  <c r="J268" i="24" s="1"/>
  <c r="O298" i="24" s="1"/>
  <c r="Q27" i="28" s="1"/>
  <c r="I256" i="24"/>
  <c r="I268" i="24" s="1"/>
  <c r="O294" i="24" s="1"/>
  <c r="Q26" i="28" s="1"/>
  <c r="F249" i="24" l="1"/>
  <c r="N282" i="24" s="1"/>
  <c r="P23" i="28" s="1"/>
  <c r="J249" i="24"/>
  <c r="N298" i="24" s="1"/>
  <c r="P27" i="28" s="1"/>
  <c r="H249" i="24"/>
  <c r="N290" i="24" s="1"/>
  <c r="P25" i="28" s="1"/>
  <c r="G249" i="24"/>
  <c r="N286" i="24" s="1"/>
  <c r="P24" i="28" s="1"/>
  <c r="F162" i="27"/>
  <c r="B18" i="23" l="1"/>
  <c r="F55" i="4" l="1"/>
  <c r="F71" i="4" s="1"/>
  <c r="E55" i="4"/>
  <c r="E71" i="4" s="1"/>
  <c r="D55" i="4"/>
  <c r="C55" i="4"/>
  <c r="F54" i="4"/>
  <c r="F70" i="4" s="1"/>
  <c r="E54" i="4"/>
  <c r="E70" i="4" s="1"/>
  <c r="D54" i="4"/>
  <c r="C54" i="4"/>
  <c r="F53" i="4"/>
  <c r="F69" i="4" s="1"/>
  <c r="E53" i="4"/>
  <c r="E69" i="4" s="1"/>
  <c r="D53" i="4"/>
  <c r="C53" i="4"/>
  <c r="F52" i="4"/>
  <c r="F68" i="4" s="1"/>
  <c r="E52" i="4"/>
  <c r="E68" i="4" s="1"/>
  <c r="D52" i="4"/>
  <c r="C52" i="4"/>
  <c r="F51" i="4"/>
  <c r="F67" i="4" s="1"/>
  <c r="E51" i="4"/>
  <c r="E67" i="4" s="1"/>
  <c r="D51" i="4"/>
  <c r="C51" i="4"/>
  <c r="F50" i="4"/>
  <c r="F66" i="4" s="1"/>
  <c r="E50" i="4"/>
  <c r="E66" i="4" s="1"/>
  <c r="D50" i="4"/>
  <c r="C50" i="4"/>
  <c r="F49" i="4"/>
  <c r="F65" i="4" s="1"/>
  <c r="E49" i="4"/>
  <c r="E65" i="4" s="1"/>
  <c r="D49" i="4"/>
  <c r="C49" i="4"/>
  <c r="F48" i="4"/>
  <c r="F64" i="4" s="1"/>
  <c r="E48" i="4"/>
  <c r="E64" i="4" s="1"/>
  <c r="D48" i="4"/>
  <c r="C48" i="4"/>
  <c r="F47" i="4"/>
  <c r="E47" i="4"/>
  <c r="E63" i="4" s="1"/>
  <c r="D47" i="4"/>
  <c r="C47" i="4"/>
  <c r="F46" i="4"/>
  <c r="F62" i="4" s="1"/>
  <c r="E46" i="4"/>
  <c r="E62" i="4" s="1"/>
  <c r="D46" i="4"/>
  <c r="C46" i="4"/>
  <c r="I46" i="4" s="1"/>
  <c r="F45" i="4"/>
  <c r="F61" i="4" s="1"/>
  <c r="E45" i="4"/>
  <c r="E61" i="4" s="1"/>
  <c r="D45" i="4"/>
  <c r="C45" i="4"/>
  <c r="F44" i="4"/>
  <c r="E44" i="4"/>
  <c r="E60" i="4" s="1"/>
  <c r="D44" i="4"/>
  <c r="C44" i="4"/>
  <c r="C60" i="4" s="1"/>
  <c r="K60" i="4" s="1"/>
  <c r="R41" i="4"/>
  <c r="O41" i="4"/>
  <c r="L41" i="4"/>
  <c r="I41" i="4"/>
  <c r="F60" i="4" l="1"/>
  <c r="S44" i="4"/>
  <c r="F63" i="4"/>
  <c r="G38" i="27"/>
  <c r="D60" i="4"/>
  <c r="L44" i="4"/>
  <c r="D36" i="24" s="1"/>
  <c r="M44" i="4"/>
  <c r="D61" i="4"/>
  <c r="L45" i="4"/>
  <c r="E36" i="24" s="1"/>
  <c r="M45" i="4"/>
  <c r="E37" i="24" s="1"/>
  <c r="D62" i="4"/>
  <c r="L46" i="4"/>
  <c r="F36" i="24" s="1"/>
  <c r="M46" i="4"/>
  <c r="F37" i="24" s="1"/>
  <c r="D63" i="4"/>
  <c r="M47" i="4"/>
  <c r="G37" i="24" s="1"/>
  <c r="L47" i="4"/>
  <c r="G36" i="24" s="1"/>
  <c r="D64" i="4"/>
  <c r="L48" i="4"/>
  <c r="H36" i="24" s="1"/>
  <c r="M48" i="4"/>
  <c r="D65" i="4"/>
  <c r="L49" i="4"/>
  <c r="M49" i="4"/>
  <c r="I37" i="24" s="1"/>
  <c r="D66" i="4"/>
  <c r="L50" i="4"/>
  <c r="J36" i="24" s="1"/>
  <c r="M50" i="4"/>
  <c r="D67" i="4"/>
  <c r="M51" i="4"/>
  <c r="L51" i="4"/>
  <c r="K36" i="24" s="1"/>
  <c r="D68" i="4"/>
  <c r="L52" i="4"/>
  <c r="L36" i="24" s="1"/>
  <c r="M52" i="4"/>
  <c r="L37" i="24" s="1"/>
  <c r="D69" i="4"/>
  <c r="M53" i="4"/>
  <c r="L53" i="4"/>
  <c r="M36" i="24" s="1"/>
  <c r="D70" i="4"/>
  <c r="L54" i="4"/>
  <c r="N36" i="24" s="1"/>
  <c r="M54" i="4"/>
  <c r="N37" i="24" s="1"/>
  <c r="D71" i="4"/>
  <c r="L55" i="4"/>
  <c r="O36" i="24" s="1"/>
  <c r="M55" i="4"/>
  <c r="O37" i="24" s="1"/>
  <c r="I45" i="4"/>
  <c r="C61" i="4"/>
  <c r="K61" i="4" s="1"/>
  <c r="I47" i="4"/>
  <c r="G8" i="24" s="1"/>
  <c r="C63" i="4"/>
  <c r="I49" i="4"/>
  <c r="I8" i="24" s="1"/>
  <c r="C65" i="4"/>
  <c r="K51" i="4"/>
  <c r="K10" i="24" s="1"/>
  <c r="C67" i="4"/>
  <c r="K67" i="4" s="1"/>
  <c r="J51" i="4"/>
  <c r="I51" i="4"/>
  <c r="K8" i="24" s="1"/>
  <c r="K53" i="4"/>
  <c r="M10" i="24" s="1"/>
  <c r="C69" i="4"/>
  <c r="K69" i="4" s="1"/>
  <c r="K55" i="4"/>
  <c r="O10" i="24" s="1"/>
  <c r="C71" i="4"/>
  <c r="J55" i="4"/>
  <c r="O9" i="24" s="1"/>
  <c r="I55" i="4"/>
  <c r="O8" i="24" s="1"/>
  <c r="I60" i="4"/>
  <c r="D11" i="24" s="1"/>
  <c r="J60" i="4"/>
  <c r="D12" i="24" s="1"/>
  <c r="D13" i="24"/>
  <c r="K46" i="4"/>
  <c r="F10" i="24" s="1"/>
  <c r="C62" i="4"/>
  <c r="K62" i="4" s="1"/>
  <c r="J46" i="4"/>
  <c r="F9" i="24" s="1"/>
  <c r="I48" i="4"/>
  <c r="H8" i="24" s="1"/>
  <c r="C64" i="4"/>
  <c r="I50" i="4"/>
  <c r="J8" i="24" s="1"/>
  <c r="C66" i="4"/>
  <c r="I52" i="4"/>
  <c r="L8" i="24" s="1"/>
  <c r="C68" i="4"/>
  <c r="J54" i="4"/>
  <c r="N9" i="24" s="1"/>
  <c r="C70" i="4"/>
  <c r="K54" i="4"/>
  <c r="N10" i="24" s="1"/>
  <c r="I54" i="4"/>
  <c r="N8" i="24" s="1"/>
  <c r="J53" i="4"/>
  <c r="M9" i="24" s="1"/>
  <c r="I53" i="4"/>
  <c r="M8" i="24" s="1"/>
  <c r="J44" i="4"/>
  <c r="D9" i="24" s="1"/>
  <c r="I44" i="4"/>
  <c r="D8" i="24" s="1"/>
  <c r="K44" i="4"/>
  <c r="D10" i="24" s="1"/>
  <c r="K45" i="4"/>
  <c r="E10" i="24" s="1"/>
  <c r="J45" i="4"/>
  <c r="E9" i="24" s="1"/>
  <c r="E8" i="24"/>
  <c r="F8" i="24"/>
  <c r="J47" i="4"/>
  <c r="G9" i="24" s="1"/>
  <c r="K47" i="4"/>
  <c r="G10" i="24" s="1"/>
  <c r="K48" i="4"/>
  <c r="H10" i="24" s="1"/>
  <c r="J48" i="4"/>
  <c r="H9" i="24" s="1"/>
  <c r="K49" i="4"/>
  <c r="I10" i="24" s="1"/>
  <c r="J49" i="4"/>
  <c r="I9" i="24" s="1"/>
  <c r="K50" i="4"/>
  <c r="J10" i="24" s="1"/>
  <c r="J50" i="4"/>
  <c r="J9" i="24" s="1"/>
  <c r="K9" i="24"/>
  <c r="K52" i="4"/>
  <c r="L10" i="24" s="1"/>
  <c r="J52" i="4"/>
  <c r="L9" i="24" s="1"/>
  <c r="D38" i="24"/>
  <c r="D37" i="24"/>
  <c r="E38" i="24"/>
  <c r="F38" i="24"/>
  <c r="G38" i="24"/>
  <c r="H38" i="24"/>
  <c r="H37" i="24"/>
  <c r="I38" i="24"/>
  <c r="I36" i="24"/>
  <c r="J38" i="24"/>
  <c r="J37" i="24"/>
  <c r="K37" i="24"/>
  <c r="K38" i="24"/>
  <c r="L38" i="24"/>
  <c r="M38" i="24"/>
  <c r="M37" i="24"/>
  <c r="N38" i="24"/>
  <c r="O38" i="24"/>
  <c r="Q44" i="4"/>
  <c r="D66" i="24" s="1"/>
  <c r="P44" i="4"/>
  <c r="D65" i="24" s="1"/>
  <c r="O44" i="4"/>
  <c r="D64" i="24" s="1"/>
  <c r="Q45" i="4"/>
  <c r="E66" i="24" s="1"/>
  <c r="P45" i="4"/>
  <c r="E65" i="24" s="1"/>
  <c r="O45" i="4"/>
  <c r="E64" i="24" s="1"/>
  <c r="P46" i="4"/>
  <c r="F65" i="24" s="1"/>
  <c r="O46" i="4"/>
  <c r="F64" i="24" s="1"/>
  <c r="Q46" i="4"/>
  <c r="F66" i="24" s="1"/>
  <c r="Q47" i="4"/>
  <c r="G66" i="24" s="1"/>
  <c r="O47" i="4"/>
  <c r="G64" i="24" s="1"/>
  <c r="P47" i="4"/>
  <c r="G65" i="24" s="1"/>
  <c r="P48" i="4"/>
  <c r="H65" i="24" s="1"/>
  <c r="O48" i="4"/>
  <c r="H64" i="24" s="1"/>
  <c r="Q48" i="4"/>
  <c r="H66" i="24" s="1"/>
  <c r="Q49" i="4"/>
  <c r="I66" i="24" s="1"/>
  <c r="P49" i="4"/>
  <c r="I65" i="24" s="1"/>
  <c r="O49" i="4"/>
  <c r="I64" i="24" s="1"/>
  <c r="P50" i="4"/>
  <c r="J65" i="24" s="1"/>
  <c r="O50" i="4"/>
  <c r="J64" i="24" s="1"/>
  <c r="Q50" i="4"/>
  <c r="J66" i="24" s="1"/>
  <c r="Q51" i="4"/>
  <c r="K66" i="24" s="1"/>
  <c r="P51" i="4"/>
  <c r="K65" i="24" s="1"/>
  <c r="O51" i="4"/>
  <c r="K64" i="24" s="1"/>
  <c r="Q52" i="4"/>
  <c r="L66" i="24" s="1"/>
  <c r="P52" i="4"/>
  <c r="L65" i="24" s="1"/>
  <c r="O52" i="4"/>
  <c r="L64" i="24" s="1"/>
  <c r="O53" i="4"/>
  <c r="M64" i="24" s="1"/>
  <c r="Q53" i="4"/>
  <c r="M66" i="24" s="1"/>
  <c r="P53" i="4"/>
  <c r="M65" i="24" s="1"/>
  <c r="Q54" i="4"/>
  <c r="N66" i="24" s="1"/>
  <c r="P54" i="4"/>
  <c r="N65" i="24" s="1"/>
  <c r="O54" i="4"/>
  <c r="N64" i="24" s="1"/>
  <c r="Q55" i="4"/>
  <c r="O66" i="24" s="1"/>
  <c r="P55" i="4"/>
  <c r="O65" i="24" s="1"/>
  <c r="O55" i="4"/>
  <c r="O64" i="24" s="1"/>
  <c r="T44" i="4"/>
  <c r="D85" i="24" s="1"/>
  <c r="R44" i="4"/>
  <c r="D83" i="24" s="1"/>
  <c r="D84" i="24"/>
  <c r="T45" i="4"/>
  <c r="E85" i="24" s="1"/>
  <c r="S45" i="4"/>
  <c r="E84" i="24" s="1"/>
  <c r="R45" i="4"/>
  <c r="E83" i="24" s="1"/>
  <c r="R46" i="4"/>
  <c r="F83" i="24" s="1"/>
  <c r="T46" i="4"/>
  <c r="F85" i="24" s="1"/>
  <c r="S46" i="4"/>
  <c r="F84" i="24" s="1"/>
  <c r="T47" i="4"/>
  <c r="G85" i="24" s="1"/>
  <c r="R47" i="4"/>
  <c r="G83" i="24" s="1"/>
  <c r="S47" i="4"/>
  <c r="G84" i="24" s="1"/>
  <c r="T48" i="4"/>
  <c r="H85" i="24" s="1"/>
  <c r="S48" i="4"/>
  <c r="H84" i="24" s="1"/>
  <c r="R48" i="4"/>
  <c r="H83" i="24" s="1"/>
  <c r="R49" i="4"/>
  <c r="I83" i="24" s="1"/>
  <c r="T49" i="4"/>
  <c r="I85" i="24" s="1"/>
  <c r="S49" i="4"/>
  <c r="I84" i="24" s="1"/>
  <c r="K219" i="24"/>
  <c r="K230" i="24" s="1"/>
  <c r="T50" i="4"/>
  <c r="J85" i="24" s="1"/>
  <c r="S50" i="4"/>
  <c r="J84" i="24" s="1"/>
  <c r="R50" i="4"/>
  <c r="J83" i="24" s="1"/>
  <c r="T51" i="4"/>
  <c r="K85" i="24" s="1"/>
  <c r="S51" i="4"/>
  <c r="K84" i="24" s="1"/>
  <c r="R51" i="4"/>
  <c r="K83" i="24" s="1"/>
  <c r="T52" i="4"/>
  <c r="L85" i="24" s="1"/>
  <c r="S52" i="4"/>
  <c r="L84" i="24" s="1"/>
  <c r="R52" i="4"/>
  <c r="L83" i="24" s="1"/>
  <c r="S53" i="4"/>
  <c r="M84" i="24" s="1"/>
  <c r="R53" i="4"/>
  <c r="M83" i="24" s="1"/>
  <c r="T53" i="4"/>
  <c r="M85" i="24" s="1"/>
  <c r="T54" i="4"/>
  <c r="N85" i="24" s="1"/>
  <c r="S54" i="4"/>
  <c r="N84" i="24" s="1"/>
  <c r="R54" i="4"/>
  <c r="N83" i="24" s="1"/>
  <c r="N219" i="24"/>
  <c r="N230" i="24" s="1"/>
  <c r="R55" i="4"/>
  <c r="O83" i="24" s="1"/>
  <c r="T55" i="4"/>
  <c r="O85" i="24" s="1"/>
  <c r="S55" i="4"/>
  <c r="O84" i="24" s="1"/>
  <c r="E107" i="24"/>
  <c r="D40" i="26"/>
  <c r="E103" i="24" s="1"/>
  <c r="D39" i="26"/>
  <c r="D103" i="24" s="1"/>
  <c r="G140" i="24"/>
  <c r="D105" i="24"/>
  <c r="D107" i="24"/>
  <c r="O141" i="24"/>
  <c r="K141" i="24"/>
  <c r="F141" i="24"/>
  <c r="H141" i="24" l="1"/>
  <c r="L141" i="24"/>
  <c r="I141" i="24"/>
  <c r="M141" i="24"/>
  <c r="J141" i="24"/>
  <c r="N141" i="24"/>
  <c r="I140" i="24"/>
  <c r="I142" i="24"/>
  <c r="M142" i="24"/>
  <c r="M140" i="24"/>
  <c r="F140" i="24"/>
  <c r="F142" i="24"/>
  <c r="K140" i="24"/>
  <c r="K142" i="24"/>
  <c r="O140" i="24"/>
  <c r="O142" i="24"/>
  <c r="H140" i="24"/>
  <c r="H142" i="24"/>
  <c r="L140" i="24"/>
  <c r="L142" i="24"/>
  <c r="J140" i="24"/>
  <c r="J142" i="24"/>
  <c r="N140" i="24"/>
  <c r="N142" i="24"/>
  <c r="J53" i="26"/>
  <c r="E106" i="24" s="1"/>
  <c r="E105" i="24"/>
  <c r="N69" i="4"/>
  <c r="M41" i="24" s="1"/>
  <c r="M69" i="4"/>
  <c r="M40" i="24" s="1"/>
  <c r="L69" i="4"/>
  <c r="M39" i="24" s="1"/>
  <c r="N65" i="4"/>
  <c r="I41" i="24" s="1"/>
  <c r="L65" i="4"/>
  <c r="I39" i="24" s="1"/>
  <c r="M65" i="4"/>
  <c r="I40" i="24" s="1"/>
  <c r="M61" i="4"/>
  <c r="E40" i="24" s="1"/>
  <c r="L61" i="4"/>
  <c r="E39" i="24" s="1"/>
  <c r="N61" i="4"/>
  <c r="E41" i="24" s="1"/>
  <c r="L70" i="4"/>
  <c r="N39" i="24" s="1"/>
  <c r="M70" i="4"/>
  <c r="N40" i="24" s="1"/>
  <c r="N70" i="4"/>
  <c r="N41" i="24" s="1"/>
  <c r="L66" i="4"/>
  <c r="J39" i="24" s="1"/>
  <c r="N66" i="4"/>
  <c r="J41" i="24" s="1"/>
  <c r="M66" i="4"/>
  <c r="J40" i="24" s="1"/>
  <c r="N62" i="4"/>
  <c r="F41" i="24" s="1"/>
  <c r="M62" i="4"/>
  <c r="F40" i="24" s="1"/>
  <c r="L62" i="4"/>
  <c r="F39" i="24" s="1"/>
  <c r="N71" i="4"/>
  <c r="O41" i="24" s="1"/>
  <c r="M71" i="4"/>
  <c r="O40" i="24" s="1"/>
  <c r="L71" i="4"/>
  <c r="O39" i="24" s="1"/>
  <c r="M67" i="4"/>
  <c r="K40" i="24" s="1"/>
  <c r="L67" i="4"/>
  <c r="K39" i="24" s="1"/>
  <c r="N67" i="4"/>
  <c r="K41" i="24" s="1"/>
  <c r="M63" i="4"/>
  <c r="G40" i="24" s="1"/>
  <c r="L63" i="4"/>
  <c r="G39" i="24" s="1"/>
  <c r="N63" i="4"/>
  <c r="G41" i="24" s="1"/>
  <c r="L68" i="4"/>
  <c r="L39" i="24" s="1"/>
  <c r="M68" i="4"/>
  <c r="L40" i="24" s="1"/>
  <c r="N68" i="4"/>
  <c r="L41" i="24" s="1"/>
  <c r="M64" i="4"/>
  <c r="H40" i="24" s="1"/>
  <c r="N64" i="4"/>
  <c r="H41" i="24" s="1"/>
  <c r="L64" i="4"/>
  <c r="H39" i="24" s="1"/>
  <c r="L60" i="4"/>
  <c r="D39" i="24" s="1"/>
  <c r="N60" i="4"/>
  <c r="D41" i="24" s="1"/>
  <c r="M60" i="4"/>
  <c r="D40" i="24" s="1"/>
  <c r="I69" i="4"/>
  <c r="M11" i="24" s="1"/>
  <c r="J69" i="4"/>
  <c r="M12" i="24" s="1"/>
  <c r="M13" i="24"/>
  <c r="J63" i="4"/>
  <c r="G12" i="24" s="1"/>
  <c r="K63" i="4"/>
  <c r="G13" i="24" s="1"/>
  <c r="I63" i="4"/>
  <c r="G11" i="24" s="1"/>
  <c r="J70" i="4"/>
  <c r="N12" i="24" s="1"/>
  <c r="K70" i="4"/>
  <c r="N13" i="24" s="1"/>
  <c r="I70" i="4"/>
  <c r="N11" i="24" s="1"/>
  <c r="J66" i="4"/>
  <c r="J12" i="24" s="1"/>
  <c r="K66" i="4"/>
  <c r="J13" i="24" s="1"/>
  <c r="I66" i="4"/>
  <c r="J11" i="24" s="1"/>
  <c r="J71" i="4"/>
  <c r="O12" i="24" s="1"/>
  <c r="K71" i="4"/>
  <c r="O13" i="24" s="1"/>
  <c r="I71" i="4"/>
  <c r="O11" i="24" s="1"/>
  <c r="J65" i="4"/>
  <c r="I12" i="24" s="1"/>
  <c r="K65" i="4"/>
  <c r="I13" i="24" s="1"/>
  <c r="I65" i="4"/>
  <c r="I11" i="24" s="1"/>
  <c r="I61" i="4"/>
  <c r="E11" i="24" s="1"/>
  <c r="J61" i="4"/>
  <c r="E12" i="24" s="1"/>
  <c r="E13" i="24"/>
  <c r="J67" i="4"/>
  <c r="K12" i="24" s="1"/>
  <c r="K13" i="24"/>
  <c r="I67" i="4"/>
  <c r="K11" i="24" s="1"/>
  <c r="I68" i="4"/>
  <c r="L11" i="24" s="1"/>
  <c r="J68" i="4"/>
  <c r="L12" i="24" s="1"/>
  <c r="K68" i="4"/>
  <c r="L13" i="24" s="1"/>
  <c r="J64" i="4"/>
  <c r="H12" i="24" s="1"/>
  <c r="K64" i="4"/>
  <c r="H13" i="24" s="1"/>
  <c r="I64" i="4"/>
  <c r="H11" i="24" s="1"/>
  <c r="J62" i="4"/>
  <c r="F12" i="24" s="1"/>
  <c r="I62" i="4"/>
  <c r="F11" i="24" s="1"/>
  <c r="F13" i="24"/>
  <c r="G41" i="27"/>
  <c r="L218" i="24" s="1"/>
  <c r="L219" i="24"/>
  <c r="G40" i="27"/>
  <c r="K218" i="24" s="1"/>
  <c r="K231" i="24" s="1"/>
  <c r="J218" i="24"/>
  <c r="J219" i="24"/>
  <c r="G43" i="27"/>
  <c r="M218" i="24" s="1"/>
  <c r="M219" i="24"/>
  <c r="G46" i="27"/>
  <c r="O218" i="24" s="1"/>
  <c r="O231" i="24" s="1"/>
  <c r="O219" i="24"/>
  <c r="G45" i="27"/>
  <c r="N218" i="24" s="1"/>
  <c r="N231" i="24" s="1"/>
  <c r="J52" i="26"/>
  <c r="D106" i="24" s="1"/>
  <c r="Z237" i="20" l="1"/>
  <c r="O156" i="24" s="1"/>
  <c r="O171" i="24" s="1"/>
  <c r="K317" i="24" s="1"/>
  <c r="M17" i="28" s="1"/>
  <c r="Y237" i="20"/>
  <c r="Z236" i="20"/>
  <c r="Y236" i="20"/>
  <c r="Z235" i="20"/>
  <c r="Y235" i="20"/>
  <c r="Z234" i="20"/>
  <c r="Y234" i="20"/>
  <c r="Z233" i="20"/>
  <c r="Y233" i="20"/>
  <c r="Z232" i="20"/>
  <c r="Y232" i="20"/>
  <c r="Z231" i="20"/>
  <c r="Y231" i="20"/>
  <c r="Z230" i="20"/>
  <c r="Y230" i="20"/>
  <c r="Z229" i="20"/>
  <c r="Y229" i="20"/>
  <c r="Z228" i="20"/>
  <c r="Y228" i="20"/>
  <c r="X237" i="20"/>
  <c r="N156" i="24" s="1"/>
  <c r="W237" i="20"/>
  <c r="X236" i="20"/>
  <c r="W236" i="20"/>
  <c r="X235" i="20"/>
  <c r="W235" i="20"/>
  <c r="X234" i="20"/>
  <c r="W234" i="20"/>
  <c r="X233" i="20"/>
  <c r="W233" i="20"/>
  <c r="X232" i="20"/>
  <c r="W232" i="20"/>
  <c r="X231" i="20"/>
  <c r="W231" i="20"/>
  <c r="X230" i="20"/>
  <c r="W230" i="20"/>
  <c r="X229" i="20"/>
  <c r="W229" i="20"/>
  <c r="X228" i="20"/>
  <c r="W228" i="20"/>
  <c r="V237" i="20"/>
  <c r="M156" i="24" s="1"/>
  <c r="M171" i="24" s="1"/>
  <c r="K309" i="24" s="1"/>
  <c r="M15" i="28" s="1"/>
  <c r="U237" i="20"/>
  <c r="V236" i="20"/>
  <c r="U236" i="20"/>
  <c r="V235" i="20"/>
  <c r="U235" i="20"/>
  <c r="V234" i="20"/>
  <c r="U234" i="20"/>
  <c r="V233" i="20"/>
  <c r="U233" i="20"/>
  <c r="V232" i="20"/>
  <c r="U232" i="20"/>
  <c r="V231" i="20"/>
  <c r="U231" i="20"/>
  <c r="V230" i="20"/>
  <c r="U230" i="20"/>
  <c r="V229" i="20"/>
  <c r="U229" i="20"/>
  <c r="V228" i="20"/>
  <c r="U228" i="20"/>
  <c r="T237" i="20"/>
  <c r="L156" i="24" s="1"/>
  <c r="S237" i="20"/>
  <c r="T236" i="20"/>
  <c r="S236" i="20"/>
  <c r="T235" i="20"/>
  <c r="S235" i="20"/>
  <c r="T234" i="20"/>
  <c r="S234" i="20"/>
  <c r="T233" i="20"/>
  <c r="S233" i="20"/>
  <c r="T232" i="20"/>
  <c r="S232" i="20"/>
  <c r="T231" i="20"/>
  <c r="S231" i="20"/>
  <c r="T230" i="20"/>
  <c r="S230" i="20"/>
  <c r="T229" i="20"/>
  <c r="S229" i="20"/>
  <c r="T228" i="20"/>
  <c r="S228" i="20"/>
  <c r="R237" i="20"/>
  <c r="K156" i="24" s="1"/>
  <c r="Q237" i="20"/>
  <c r="R236" i="20"/>
  <c r="Q236" i="20"/>
  <c r="R235" i="20"/>
  <c r="Q235" i="20"/>
  <c r="R234" i="20"/>
  <c r="Q234" i="20"/>
  <c r="R233" i="20"/>
  <c r="Q233" i="20"/>
  <c r="R232" i="20"/>
  <c r="Q232" i="20"/>
  <c r="R231" i="20"/>
  <c r="Q231" i="20"/>
  <c r="R230" i="20"/>
  <c r="Q230" i="20"/>
  <c r="R229" i="20"/>
  <c r="Q229" i="20"/>
  <c r="R228" i="20"/>
  <c r="Q228" i="20"/>
  <c r="P237" i="20"/>
  <c r="J156" i="24" s="1"/>
  <c r="O237" i="20"/>
  <c r="P236" i="20"/>
  <c r="O236" i="20"/>
  <c r="P235" i="20"/>
  <c r="O235" i="20"/>
  <c r="P234" i="20"/>
  <c r="O234" i="20"/>
  <c r="P233" i="20"/>
  <c r="O233" i="20"/>
  <c r="P232" i="20"/>
  <c r="O232" i="20"/>
  <c r="P231" i="20"/>
  <c r="O231" i="20"/>
  <c r="P230" i="20"/>
  <c r="O230" i="20"/>
  <c r="P229" i="20"/>
  <c r="O229" i="20"/>
  <c r="P228" i="20"/>
  <c r="O228" i="20"/>
  <c r="N237" i="20"/>
  <c r="I156" i="24" s="1"/>
  <c r="I171" i="24" s="1"/>
  <c r="K293" i="24" s="1"/>
  <c r="M11" i="28" s="1"/>
  <c r="M237" i="20"/>
  <c r="N236" i="20"/>
  <c r="M236" i="20"/>
  <c r="N235" i="20"/>
  <c r="M235" i="20"/>
  <c r="N234" i="20"/>
  <c r="M234" i="20"/>
  <c r="N233" i="20"/>
  <c r="M233" i="20"/>
  <c r="N232" i="20"/>
  <c r="M232" i="20"/>
  <c r="N231" i="20"/>
  <c r="M231" i="20"/>
  <c r="N230" i="20"/>
  <c r="M230" i="20"/>
  <c r="N229" i="20"/>
  <c r="M229" i="20"/>
  <c r="N228" i="20"/>
  <c r="M228" i="20"/>
  <c r="L237" i="20"/>
  <c r="H156" i="24" s="1"/>
  <c r="H171" i="24" s="1"/>
  <c r="K289" i="24" s="1"/>
  <c r="M10" i="28" s="1"/>
  <c r="K237" i="20"/>
  <c r="L236" i="20"/>
  <c r="K236" i="20"/>
  <c r="L235" i="20"/>
  <c r="K235" i="20"/>
  <c r="L234" i="20"/>
  <c r="K234" i="20"/>
  <c r="L233" i="20"/>
  <c r="K233" i="20"/>
  <c r="L232" i="20"/>
  <c r="K232" i="20"/>
  <c r="L231" i="20"/>
  <c r="K231" i="20"/>
  <c r="L230" i="20"/>
  <c r="K230" i="20"/>
  <c r="L229" i="20"/>
  <c r="K229" i="20"/>
  <c r="L228" i="20"/>
  <c r="K228" i="20"/>
  <c r="J237" i="20"/>
  <c r="G156" i="24" s="1"/>
  <c r="G171" i="24" s="1"/>
  <c r="I237" i="20"/>
  <c r="J236" i="20"/>
  <c r="I236" i="20"/>
  <c r="J235" i="20"/>
  <c r="I235" i="20"/>
  <c r="J234" i="20"/>
  <c r="I234" i="20"/>
  <c r="J233" i="20"/>
  <c r="I233" i="20"/>
  <c r="J232" i="20"/>
  <c r="I232" i="20"/>
  <c r="J231" i="20"/>
  <c r="I231" i="20"/>
  <c r="J230" i="20"/>
  <c r="I230" i="20"/>
  <c r="J229" i="20"/>
  <c r="I229" i="20"/>
  <c r="J228" i="20"/>
  <c r="I228" i="20"/>
  <c r="H237" i="20"/>
  <c r="F156" i="24" s="1"/>
  <c r="G237" i="20"/>
  <c r="H236" i="20"/>
  <c r="G236" i="20"/>
  <c r="H235" i="20"/>
  <c r="G235" i="20"/>
  <c r="H234" i="20"/>
  <c r="G234" i="20"/>
  <c r="H233" i="20"/>
  <c r="G233" i="20"/>
  <c r="H232" i="20"/>
  <c r="G232" i="20"/>
  <c r="H231" i="20"/>
  <c r="G231" i="20"/>
  <c r="H230" i="20"/>
  <c r="G230" i="20"/>
  <c r="H229" i="20"/>
  <c r="G229" i="20"/>
  <c r="H228" i="20"/>
  <c r="G228" i="20"/>
  <c r="F237" i="20"/>
  <c r="E156" i="24" s="1"/>
  <c r="E237" i="20"/>
  <c r="F236" i="20"/>
  <c r="E236" i="20"/>
  <c r="F235" i="20"/>
  <c r="E235" i="20"/>
  <c r="F234" i="20"/>
  <c r="E234" i="20"/>
  <c r="F233" i="20"/>
  <c r="E233" i="20"/>
  <c r="F232" i="20"/>
  <c r="E232" i="20"/>
  <c r="F231" i="20"/>
  <c r="E231" i="20"/>
  <c r="F230" i="20"/>
  <c r="E230" i="20"/>
  <c r="F229" i="20"/>
  <c r="E229" i="20"/>
  <c r="F228" i="20"/>
  <c r="E228" i="20"/>
  <c r="D229" i="20"/>
  <c r="D230" i="20"/>
  <c r="D231" i="20"/>
  <c r="D232" i="20"/>
  <c r="D233" i="20"/>
  <c r="D234" i="20"/>
  <c r="D235" i="20"/>
  <c r="D236" i="20"/>
  <c r="D237" i="20"/>
  <c r="D156" i="24" s="1"/>
  <c r="D228" i="20"/>
  <c r="C229" i="20"/>
  <c r="C230" i="20"/>
  <c r="C231" i="20"/>
  <c r="C232" i="20"/>
  <c r="C233" i="20"/>
  <c r="C234" i="20"/>
  <c r="C235" i="20"/>
  <c r="C236" i="20"/>
  <c r="C237" i="20"/>
  <c r="C228" i="20"/>
  <c r="D173" i="24" l="1"/>
  <c r="I275" i="24" s="1"/>
  <c r="K36" i="28" s="1"/>
  <c r="E173" i="24"/>
  <c r="I279" i="24" s="1"/>
  <c r="K37" i="28" s="1"/>
  <c r="F172" i="24"/>
  <c r="J171" i="24"/>
  <c r="K171" i="24"/>
  <c r="L171" i="24"/>
  <c r="N171" i="24"/>
  <c r="D126" i="22"/>
  <c r="F126" i="22"/>
  <c r="D126" i="20"/>
  <c r="F126" i="20"/>
  <c r="F126" i="21"/>
  <c r="D126" i="21"/>
  <c r="H233" i="22" l="1"/>
  <c r="G177" i="22"/>
  <c r="I177" i="22"/>
  <c r="K177" i="22"/>
  <c r="M177" i="22"/>
  <c r="O177" i="22"/>
  <c r="Q177" i="22"/>
  <c r="S177" i="22"/>
  <c r="U177" i="22"/>
  <c r="W177" i="22"/>
  <c r="Y177" i="22"/>
  <c r="H178" i="22"/>
  <c r="J178" i="22"/>
  <c r="L178" i="22"/>
  <c r="N178" i="22"/>
  <c r="P178" i="22"/>
  <c r="R178" i="22"/>
  <c r="T178" i="22"/>
  <c r="V178" i="22"/>
  <c r="X178" i="22"/>
  <c r="Z178" i="22"/>
  <c r="O216" i="24"/>
  <c r="O230" i="24" s="1"/>
  <c r="P314" i="24"/>
  <c r="R31" i="28" s="1"/>
  <c r="I216" i="24"/>
  <c r="M216" i="24"/>
  <c r="H216" i="24"/>
  <c r="L216" i="24"/>
  <c r="P294" i="24"/>
  <c r="R26" i="28" s="1"/>
  <c r="G216" i="24"/>
  <c r="J216" i="24"/>
  <c r="F216" i="24"/>
  <c r="Z287" i="22"/>
  <c r="Y287" i="22"/>
  <c r="X287" i="22"/>
  <c r="W287" i="22"/>
  <c r="V287" i="22"/>
  <c r="U287" i="22"/>
  <c r="T287" i="22"/>
  <c r="S287" i="22"/>
  <c r="R287" i="22"/>
  <c r="Q287" i="22"/>
  <c r="P287" i="22"/>
  <c r="O287" i="22"/>
  <c r="N287" i="22"/>
  <c r="M287" i="22"/>
  <c r="L287" i="22"/>
  <c r="K287" i="22"/>
  <c r="J287" i="22"/>
  <c r="I287" i="22"/>
  <c r="G287" i="22"/>
  <c r="Z286" i="22"/>
  <c r="Y286" i="22"/>
  <c r="X286" i="22"/>
  <c r="W286" i="22"/>
  <c r="V286" i="22"/>
  <c r="U286" i="22"/>
  <c r="T286" i="22"/>
  <c r="S286" i="22"/>
  <c r="R286" i="22"/>
  <c r="Q286" i="22"/>
  <c r="P286" i="22"/>
  <c r="O286" i="22"/>
  <c r="N286" i="22"/>
  <c r="M286" i="22"/>
  <c r="L286" i="22"/>
  <c r="K286" i="22"/>
  <c r="J286" i="22"/>
  <c r="I286" i="22"/>
  <c r="H286" i="22"/>
  <c r="G286" i="22"/>
  <c r="Z285" i="22"/>
  <c r="Y285" i="22"/>
  <c r="X285" i="22"/>
  <c r="W285" i="22"/>
  <c r="V285" i="22"/>
  <c r="U285" i="22"/>
  <c r="T285" i="22"/>
  <c r="S285" i="22"/>
  <c r="R285" i="22"/>
  <c r="Q285" i="22"/>
  <c r="P285" i="22"/>
  <c r="O285" i="22"/>
  <c r="N285" i="22"/>
  <c r="M285" i="22"/>
  <c r="L285" i="22"/>
  <c r="K285" i="22"/>
  <c r="J285" i="22"/>
  <c r="I285" i="22"/>
  <c r="H285" i="22"/>
  <c r="G285" i="22"/>
  <c r="Z284" i="22"/>
  <c r="Y284" i="22"/>
  <c r="X284" i="22"/>
  <c r="W284" i="22"/>
  <c r="V284" i="22"/>
  <c r="U284" i="22"/>
  <c r="T284" i="22"/>
  <c r="S284" i="22"/>
  <c r="R284" i="22"/>
  <c r="Q284" i="22"/>
  <c r="P284" i="22"/>
  <c r="O284" i="22"/>
  <c r="N284" i="22"/>
  <c r="M284" i="22"/>
  <c r="L284" i="22"/>
  <c r="K284" i="22"/>
  <c r="J284" i="22"/>
  <c r="I284" i="22"/>
  <c r="H284" i="22"/>
  <c r="G284" i="22"/>
  <c r="Z283" i="22"/>
  <c r="Y283" i="22"/>
  <c r="X283" i="22"/>
  <c r="W283" i="22"/>
  <c r="V283" i="22"/>
  <c r="U283" i="22"/>
  <c r="T283" i="22"/>
  <c r="S283" i="22"/>
  <c r="R283" i="22"/>
  <c r="Q283" i="22"/>
  <c r="P283" i="22"/>
  <c r="O283" i="22"/>
  <c r="N283" i="22"/>
  <c r="M283" i="22"/>
  <c r="L283" i="22"/>
  <c r="K283" i="22"/>
  <c r="J283" i="22"/>
  <c r="I283" i="22"/>
  <c r="H283" i="22"/>
  <c r="G283" i="22"/>
  <c r="Z282" i="22"/>
  <c r="Y282" i="22"/>
  <c r="X282" i="22"/>
  <c r="W282" i="22"/>
  <c r="V282" i="22"/>
  <c r="U282" i="22"/>
  <c r="T282" i="22"/>
  <c r="S282" i="22"/>
  <c r="R282" i="22"/>
  <c r="Q282" i="22"/>
  <c r="P282" i="22"/>
  <c r="O282" i="22"/>
  <c r="N282" i="22"/>
  <c r="M282" i="22"/>
  <c r="L282" i="22"/>
  <c r="K282" i="22"/>
  <c r="J282" i="22"/>
  <c r="I282" i="22"/>
  <c r="H282" i="22"/>
  <c r="G282" i="22"/>
  <c r="Z281" i="22"/>
  <c r="Y281" i="22"/>
  <c r="X281" i="22"/>
  <c r="W281" i="22"/>
  <c r="V281" i="22"/>
  <c r="U281" i="22"/>
  <c r="T281" i="22"/>
  <c r="S281" i="22"/>
  <c r="R281" i="22"/>
  <c r="Q281" i="22"/>
  <c r="P281" i="22"/>
  <c r="O281" i="22"/>
  <c r="N281" i="22"/>
  <c r="M281" i="22"/>
  <c r="L281" i="22"/>
  <c r="K281" i="22"/>
  <c r="J281" i="22"/>
  <c r="I281" i="22"/>
  <c r="H281" i="22"/>
  <c r="G281" i="22"/>
  <c r="Z280" i="22"/>
  <c r="Y280" i="22"/>
  <c r="X280" i="22"/>
  <c r="W280" i="22"/>
  <c r="V280" i="22"/>
  <c r="U280" i="22"/>
  <c r="T280" i="22"/>
  <c r="S280" i="22"/>
  <c r="R280" i="22"/>
  <c r="Q280" i="22"/>
  <c r="P280" i="22"/>
  <c r="O280" i="22"/>
  <c r="N280" i="22"/>
  <c r="M280" i="22"/>
  <c r="L280" i="22"/>
  <c r="K280" i="22"/>
  <c r="J280" i="22"/>
  <c r="I280" i="22"/>
  <c r="H280" i="22"/>
  <c r="G280" i="22"/>
  <c r="Z279" i="22"/>
  <c r="Y279" i="22"/>
  <c r="X279" i="22"/>
  <c r="W279" i="22"/>
  <c r="V279" i="22"/>
  <c r="U279" i="22"/>
  <c r="T279" i="22"/>
  <c r="S279" i="22"/>
  <c r="R279" i="22"/>
  <c r="Q279" i="22"/>
  <c r="P279" i="22"/>
  <c r="O279" i="22"/>
  <c r="N279" i="22"/>
  <c r="M279" i="22"/>
  <c r="L279" i="22"/>
  <c r="K279" i="22"/>
  <c r="J279" i="22"/>
  <c r="I279" i="22"/>
  <c r="H279" i="22"/>
  <c r="G279" i="22"/>
  <c r="Z278" i="22"/>
  <c r="Y278" i="22"/>
  <c r="X278" i="22"/>
  <c r="W278" i="22"/>
  <c r="V278" i="22"/>
  <c r="U278" i="22"/>
  <c r="T278" i="22"/>
  <c r="S278" i="22"/>
  <c r="R278" i="22"/>
  <c r="Q278" i="22"/>
  <c r="P278" i="22"/>
  <c r="O278" i="22"/>
  <c r="N278" i="22"/>
  <c r="M278" i="22"/>
  <c r="L278" i="22"/>
  <c r="K278" i="22"/>
  <c r="J278" i="22"/>
  <c r="I278" i="22"/>
  <c r="H278" i="22"/>
  <c r="G278" i="22"/>
  <c r="O177" i="24"/>
  <c r="O190" i="24" s="1"/>
  <c r="L317" i="24" s="1"/>
  <c r="N17" i="28" s="1"/>
  <c r="N177" i="24"/>
  <c r="N190" i="24" s="1"/>
  <c r="L313" i="24" s="1"/>
  <c r="N16" i="28" s="1"/>
  <c r="M177" i="24"/>
  <c r="M190" i="24" s="1"/>
  <c r="L309" i="24" s="1"/>
  <c r="N15" i="28" s="1"/>
  <c r="L177" i="24"/>
  <c r="L190" i="24" s="1"/>
  <c r="L305" i="24" s="1"/>
  <c r="N14" i="28" s="1"/>
  <c r="H177" i="24"/>
  <c r="H190" i="24" s="1"/>
  <c r="L289" i="24" s="1"/>
  <c r="N10" i="28" s="1"/>
  <c r="F177" i="24"/>
  <c r="Z261" i="22"/>
  <c r="Y261" i="22"/>
  <c r="X261" i="22"/>
  <c r="W261" i="22"/>
  <c r="V261" i="22"/>
  <c r="U261" i="22"/>
  <c r="T261" i="22"/>
  <c r="S261" i="22"/>
  <c r="R261" i="22"/>
  <c r="Q261" i="22"/>
  <c r="P261" i="22"/>
  <c r="O261" i="22"/>
  <c r="N261" i="22"/>
  <c r="M261" i="22"/>
  <c r="L261" i="22"/>
  <c r="K261" i="22"/>
  <c r="J261" i="22"/>
  <c r="I261" i="22"/>
  <c r="H261" i="22"/>
  <c r="G261" i="22"/>
  <c r="Z260" i="22"/>
  <c r="Y260" i="22"/>
  <c r="X260" i="22"/>
  <c r="W260" i="22"/>
  <c r="V260" i="22"/>
  <c r="U260" i="22"/>
  <c r="T260" i="22"/>
  <c r="S260" i="22"/>
  <c r="R260" i="22"/>
  <c r="Q260" i="22"/>
  <c r="P260" i="22"/>
  <c r="O260" i="22"/>
  <c r="N260" i="22"/>
  <c r="M260" i="22"/>
  <c r="L260" i="22"/>
  <c r="K260" i="22"/>
  <c r="J260" i="22"/>
  <c r="I260" i="22"/>
  <c r="H260" i="22"/>
  <c r="G260" i="22"/>
  <c r="Z259" i="22"/>
  <c r="Y259" i="22"/>
  <c r="X259" i="22"/>
  <c r="W259" i="22"/>
  <c r="V259" i="22"/>
  <c r="U259" i="22"/>
  <c r="T259" i="22"/>
  <c r="S259" i="22"/>
  <c r="R259" i="22"/>
  <c r="Q259" i="22"/>
  <c r="P259" i="22"/>
  <c r="O259" i="22"/>
  <c r="N259" i="22"/>
  <c r="M259" i="22"/>
  <c r="L259" i="22"/>
  <c r="K259" i="22"/>
  <c r="J259" i="22"/>
  <c r="I259" i="22"/>
  <c r="H259" i="22"/>
  <c r="G259" i="22"/>
  <c r="Z258" i="22"/>
  <c r="Z262" i="22" s="1"/>
  <c r="Y258" i="22"/>
  <c r="Y262" i="22" s="1"/>
  <c r="X258" i="22"/>
  <c r="X262" i="22" s="1"/>
  <c r="W258" i="22"/>
  <c r="W262" i="22" s="1"/>
  <c r="V258" i="22"/>
  <c r="U258" i="22"/>
  <c r="T258" i="22"/>
  <c r="T262" i="22" s="1"/>
  <c r="S258" i="22"/>
  <c r="S262" i="22" s="1"/>
  <c r="R258" i="22"/>
  <c r="Q258" i="22"/>
  <c r="P258" i="22"/>
  <c r="P262" i="22" s="1"/>
  <c r="J177" i="24" s="1"/>
  <c r="J190" i="24" s="1"/>
  <c r="L297" i="24" s="1"/>
  <c r="N12" i="28" s="1"/>
  <c r="O258" i="22"/>
  <c r="O262" i="22" s="1"/>
  <c r="N258" i="22"/>
  <c r="N262" i="22" s="1"/>
  <c r="I177" i="24" s="1"/>
  <c r="I190" i="24" s="1"/>
  <c r="L293" i="24" s="1"/>
  <c r="N11" i="28" s="1"/>
  <c r="M258" i="22"/>
  <c r="M262" i="22" s="1"/>
  <c r="L258" i="22"/>
  <c r="K258" i="22"/>
  <c r="J258" i="22"/>
  <c r="J262" i="22" s="1"/>
  <c r="G177" i="24" s="1"/>
  <c r="G190" i="24" s="1"/>
  <c r="L285" i="24" s="1"/>
  <c r="N9" i="28" s="1"/>
  <c r="I258" i="22"/>
  <c r="I262" i="22" s="1"/>
  <c r="H258" i="22"/>
  <c r="G258" i="22"/>
  <c r="Z257" i="22"/>
  <c r="Y257" i="22"/>
  <c r="X257" i="22"/>
  <c r="W257" i="22"/>
  <c r="V257" i="22"/>
  <c r="U257" i="22"/>
  <c r="T257" i="22"/>
  <c r="S257" i="22"/>
  <c r="R257" i="22"/>
  <c r="Q257" i="22"/>
  <c r="P257" i="22"/>
  <c r="O257" i="22"/>
  <c r="N257" i="22"/>
  <c r="M257" i="22"/>
  <c r="L257" i="22"/>
  <c r="K257" i="22"/>
  <c r="J257" i="22"/>
  <c r="I257" i="22"/>
  <c r="H257" i="22"/>
  <c r="G257" i="22"/>
  <c r="Z256" i="22"/>
  <c r="Y256" i="22"/>
  <c r="X256" i="22"/>
  <c r="W256" i="22"/>
  <c r="V256" i="22"/>
  <c r="U256" i="22"/>
  <c r="T256" i="22"/>
  <c r="S256" i="22"/>
  <c r="R256" i="22"/>
  <c r="Q256" i="22"/>
  <c r="P256" i="22"/>
  <c r="O256" i="22"/>
  <c r="N256" i="22"/>
  <c r="M256" i="22"/>
  <c r="L256" i="22"/>
  <c r="K256" i="22"/>
  <c r="J256" i="22"/>
  <c r="I256" i="22"/>
  <c r="H256" i="22"/>
  <c r="G256" i="22"/>
  <c r="Z255" i="22"/>
  <c r="Y255" i="22"/>
  <c r="X255" i="22"/>
  <c r="W255" i="22"/>
  <c r="V255" i="22"/>
  <c r="U255" i="22"/>
  <c r="T255" i="22"/>
  <c r="S255" i="22"/>
  <c r="R255" i="22"/>
  <c r="Q255" i="22"/>
  <c r="P255" i="22"/>
  <c r="O255" i="22"/>
  <c r="N255" i="22"/>
  <c r="M255" i="22"/>
  <c r="L255" i="22"/>
  <c r="K255" i="22"/>
  <c r="J255" i="22"/>
  <c r="I255" i="22"/>
  <c r="H255" i="22"/>
  <c r="G255" i="22"/>
  <c r="Z254" i="22"/>
  <c r="Y254" i="22"/>
  <c r="X254" i="22"/>
  <c r="W254" i="22"/>
  <c r="V254" i="22"/>
  <c r="U254" i="22"/>
  <c r="T254" i="22"/>
  <c r="S254" i="22"/>
  <c r="R254" i="22"/>
  <c r="Q254" i="22"/>
  <c r="P254" i="22"/>
  <c r="O254" i="22"/>
  <c r="N254" i="22"/>
  <c r="M254" i="22"/>
  <c r="L254" i="22"/>
  <c r="K254" i="22"/>
  <c r="J254" i="22"/>
  <c r="I254" i="22"/>
  <c r="H254" i="22"/>
  <c r="G254" i="22"/>
  <c r="Z253" i="22"/>
  <c r="Y253" i="22"/>
  <c r="X253" i="22"/>
  <c r="W253" i="22"/>
  <c r="V253" i="22"/>
  <c r="U253" i="22"/>
  <c r="T253" i="22"/>
  <c r="S253" i="22"/>
  <c r="R253" i="22"/>
  <c r="Q253" i="22"/>
  <c r="P253" i="22"/>
  <c r="O253" i="22"/>
  <c r="N253" i="22"/>
  <c r="M253" i="22"/>
  <c r="L253" i="22"/>
  <c r="K253" i="22"/>
  <c r="J253" i="22"/>
  <c r="I253" i="22"/>
  <c r="H253" i="22"/>
  <c r="G253" i="22"/>
  <c r="Z240" i="22"/>
  <c r="X240" i="22"/>
  <c r="V240" i="22"/>
  <c r="T240" i="22"/>
  <c r="R240" i="22"/>
  <c r="P240" i="22"/>
  <c r="N240" i="22"/>
  <c r="L240" i="22"/>
  <c r="J240" i="22"/>
  <c r="H240" i="22"/>
  <c r="Z237" i="22"/>
  <c r="O158" i="24" s="1"/>
  <c r="O172" i="24" s="1"/>
  <c r="K318" i="24" s="1"/>
  <c r="M32" i="28" s="1"/>
  <c r="Y237" i="22"/>
  <c r="X237" i="22"/>
  <c r="N158" i="24" s="1"/>
  <c r="W237" i="22"/>
  <c r="V237" i="22"/>
  <c r="M158" i="24" s="1"/>
  <c r="M172" i="24" s="1"/>
  <c r="K310" i="24" s="1"/>
  <c r="M30" i="28" s="1"/>
  <c r="U237" i="22"/>
  <c r="T237" i="22"/>
  <c r="L158" i="24" s="1"/>
  <c r="S237" i="22"/>
  <c r="R237" i="22"/>
  <c r="K158" i="24" s="1"/>
  <c r="Q237" i="22"/>
  <c r="P237" i="22"/>
  <c r="J158" i="24" s="1"/>
  <c r="O237" i="22"/>
  <c r="N237" i="22"/>
  <c r="I158" i="24" s="1"/>
  <c r="I172" i="24" s="1"/>
  <c r="K294" i="24" s="1"/>
  <c r="M26" i="28" s="1"/>
  <c r="M237" i="22"/>
  <c r="L237" i="22"/>
  <c r="H158" i="24" s="1"/>
  <c r="H172" i="24" s="1"/>
  <c r="K290" i="24" s="1"/>
  <c r="M25" i="28" s="1"/>
  <c r="K237" i="22"/>
  <c r="J237" i="22"/>
  <c r="G158" i="24" s="1"/>
  <c r="G172" i="24" s="1"/>
  <c r="I237" i="22"/>
  <c r="H237" i="22"/>
  <c r="F158" i="24" s="1"/>
  <c r="F171" i="24" s="1"/>
  <c r="K281" i="24" s="1"/>
  <c r="M8" i="28" s="1"/>
  <c r="G237" i="22"/>
  <c r="F237" i="22"/>
  <c r="E158" i="24" s="1"/>
  <c r="E237" i="22"/>
  <c r="D237" i="22"/>
  <c r="D158" i="24" s="1"/>
  <c r="C237" i="22"/>
  <c r="Z236" i="22"/>
  <c r="Y236" i="22"/>
  <c r="X236" i="22"/>
  <c r="W236" i="22"/>
  <c r="V236" i="22"/>
  <c r="U236" i="22"/>
  <c r="T236" i="22"/>
  <c r="S236" i="22"/>
  <c r="R236" i="22"/>
  <c r="Q236" i="22"/>
  <c r="P236" i="22"/>
  <c r="O236" i="22"/>
  <c r="N236" i="22"/>
  <c r="M236" i="22"/>
  <c r="L236" i="22"/>
  <c r="K236" i="22"/>
  <c r="J236" i="22"/>
  <c r="I236" i="22"/>
  <c r="H236" i="22"/>
  <c r="G236" i="22"/>
  <c r="F236" i="22"/>
  <c r="E236" i="22"/>
  <c r="D236" i="22"/>
  <c r="C236" i="22"/>
  <c r="Z235" i="22"/>
  <c r="Y235" i="22"/>
  <c r="X235" i="22"/>
  <c r="W235" i="22"/>
  <c r="V235" i="22"/>
  <c r="U235" i="22"/>
  <c r="T235" i="22"/>
  <c r="S235" i="22"/>
  <c r="R235" i="22"/>
  <c r="Q235" i="22"/>
  <c r="P235" i="22"/>
  <c r="O235" i="22"/>
  <c r="N235" i="22"/>
  <c r="M235" i="22"/>
  <c r="L235" i="22"/>
  <c r="K235" i="22"/>
  <c r="J235" i="22"/>
  <c r="I235" i="22"/>
  <c r="H235" i="22"/>
  <c r="G235" i="22"/>
  <c r="F235" i="22"/>
  <c r="E235" i="22"/>
  <c r="D235" i="22"/>
  <c r="C235" i="22"/>
  <c r="Z234" i="22"/>
  <c r="Y234" i="22"/>
  <c r="X234" i="22"/>
  <c r="W234" i="22"/>
  <c r="V234" i="22"/>
  <c r="U234" i="22"/>
  <c r="T234" i="22"/>
  <c r="S234" i="22"/>
  <c r="R234" i="22"/>
  <c r="Q234" i="22"/>
  <c r="P234" i="22"/>
  <c r="O234" i="22"/>
  <c r="N234" i="22"/>
  <c r="M234" i="22"/>
  <c r="L234" i="22"/>
  <c r="K234" i="22"/>
  <c r="J234" i="22"/>
  <c r="I234" i="22"/>
  <c r="H234" i="22"/>
  <c r="G234" i="22"/>
  <c r="F234" i="22"/>
  <c r="E234" i="22"/>
  <c r="D234" i="22"/>
  <c r="C234" i="22"/>
  <c r="Z233" i="22"/>
  <c r="Y233" i="22"/>
  <c r="X233" i="22"/>
  <c r="W233" i="22"/>
  <c r="V233" i="22"/>
  <c r="U233" i="22"/>
  <c r="T233" i="22"/>
  <c r="S233" i="22"/>
  <c r="R233" i="22"/>
  <c r="Q233" i="22"/>
  <c r="P233" i="22"/>
  <c r="O233" i="22"/>
  <c r="N233" i="22"/>
  <c r="M233" i="22"/>
  <c r="L233" i="22"/>
  <c r="K233" i="22"/>
  <c r="J233" i="22"/>
  <c r="I233" i="22"/>
  <c r="G233" i="22"/>
  <c r="F233" i="22"/>
  <c r="E233" i="22"/>
  <c r="D233" i="22"/>
  <c r="C233" i="22"/>
  <c r="Z232" i="22"/>
  <c r="Y232" i="22"/>
  <c r="X232" i="22"/>
  <c r="W232" i="22"/>
  <c r="V232" i="22"/>
  <c r="U232" i="22"/>
  <c r="T232" i="22"/>
  <c r="S232" i="22"/>
  <c r="R232" i="22"/>
  <c r="Q232" i="22"/>
  <c r="P232" i="22"/>
  <c r="O232" i="22"/>
  <c r="N232" i="22"/>
  <c r="M232" i="22"/>
  <c r="L232" i="22"/>
  <c r="K232" i="22"/>
  <c r="J232" i="22"/>
  <c r="I232" i="22"/>
  <c r="H232" i="22"/>
  <c r="G232" i="22"/>
  <c r="F232" i="22"/>
  <c r="E232" i="22"/>
  <c r="D232" i="22"/>
  <c r="C232" i="22"/>
  <c r="Z231" i="22"/>
  <c r="Y231" i="22"/>
  <c r="X231" i="22"/>
  <c r="W231" i="22"/>
  <c r="V231" i="22"/>
  <c r="U231" i="22"/>
  <c r="T231" i="22"/>
  <c r="S231" i="22"/>
  <c r="R231" i="22"/>
  <c r="Q231" i="22"/>
  <c r="P231" i="22"/>
  <c r="O231" i="22"/>
  <c r="N231" i="22"/>
  <c r="M231" i="22"/>
  <c r="L231" i="22"/>
  <c r="K231" i="22"/>
  <c r="J231" i="22"/>
  <c r="I231" i="22"/>
  <c r="H231" i="22"/>
  <c r="G231" i="22"/>
  <c r="F231" i="22"/>
  <c r="E231" i="22"/>
  <c r="D231" i="22"/>
  <c r="C231" i="22"/>
  <c r="Z230" i="22"/>
  <c r="Y230" i="22"/>
  <c r="X230" i="22"/>
  <c r="W230" i="22"/>
  <c r="V230" i="22"/>
  <c r="U230" i="22"/>
  <c r="T230" i="22"/>
  <c r="S230" i="22"/>
  <c r="R230" i="22"/>
  <c r="Q230" i="22"/>
  <c r="P230" i="22"/>
  <c r="O230" i="22"/>
  <c r="N230" i="22"/>
  <c r="M230" i="22"/>
  <c r="L230" i="22"/>
  <c r="K230" i="22"/>
  <c r="J230" i="22"/>
  <c r="I230" i="22"/>
  <c r="H230" i="22"/>
  <c r="G230" i="22"/>
  <c r="F230" i="22"/>
  <c r="E230" i="22"/>
  <c r="D230" i="22"/>
  <c r="C230" i="22"/>
  <c r="Z229" i="22"/>
  <c r="Y229" i="22"/>
  <c r="X229" i="22"/>
  <c r="W229" i="22"/>
  <c r="V229" i="22"/>
  <c r="U229" i="22"/>
  <c r="T229" i="22"/>
  <c r="S229" i="22"/>
  <c r="R229" i="22"/>
  <c r="Q229" i="22"/>
  <c r="P229" i="22"/>
  <c r="O229" i="22"/>
  <c r="N229" i="22"/>
  <c r="M229" i="22"/>
  <c r="L229" i="22"/>
  <c r="K229" i="22"/>
  <c r="J229" i="22"/>
  <c r="I229" i="22"/>
  <c r="H229" i="22"/>
  <c r="G229" i="22"/>
  <c r="F229" i="22"/>
  <c r="E229" i="22"/>
  <c r="D229" i="22"/>
  <c r="C229" i="22"/>
  <c r="Z228" i="22"/>
  <c r="Y228" i="22"/>
  <c r="X228" i="22"/>
  <c r="W228" i="22"/>
  <c r="V228" i="22"/>
  <c r="U228" i="22"/>
  <c r="T228" i="22"/>
  <c r="S228" i="22"/>
  <c r="R228" i="22"/>
  <c r="Q228" i="22"/>
  <c r="P228" i="22"/>
  <c r="O228" i="22"/>
  <c r="N228" i="22"/>
  <c r="M228" i="22"/>
  <c r="L228" i="22"/>
  <c r="K228" i="22"/>
  <c r="J228" i="22"/>
  <c r="I228" i="22"/>
  <c r="H228" i="22"/>
  <c r="G228" i="22"/>
  <c r="F228" i="22"/>
  <c r="E228" i="22"/>
  <c r="D228" i="22"/>
  <c r="C228" i="22"/>
  <c r="Z215" i="22"/>
  <c r="X215" i="22"/>
  <c r="V215" i="22"/>
  <c r="T215" i="22"/>
  <c r="R215" i="22"/>
  <c r="P215" i="22"/>
  <c r="N215" i="22"/>
  <c r="L215" i="22"/>
  <c r="J215" i="22"/>
  <c r="H215" i="22"/>
  <c r="F215" i="22"/>
  <c r="D215" i="22"/>
  <c r="Z201" i="22"/>
  <c r="Y201" i="22"/>
  <c r="X201" i="22"/>
  <c r="W201" i="22"/>
  <c r="V201" i="22"/>
  <c r="U201" i="22"/>
  <c r="T201" i="22"/>
  <c r="S201" i="22"/>
  <c r="R201" i="22"/>
  <c r="Q201" i="22"/>
  <c r="P201" i="22"/>
  <c r="O201" i="22"/>
  <c r="N201" i="22"/>
  <c r="M201" i="22"/>
  <c r="L201" i="22"/>
  <c r="K201" i="22"/>
  <c r="J201" i="22"/>
  <c r="I201" i="22"/>
  <c r="H201" i="22"/>
  <c r="G201" i="22"/>
  <c r="Z200" i="22"/>
  <c r="Y200" i="22"/>
  <c r="X200" i="22"/>
  <c r="W200" i="22"/>
  <c r="V200" i="22"/>
  <c r="U200" i="22"/>
  <c r="T200" i="22"/>
  <c r="S200" i="22"/>
  <c r="R200" i="22"/>
  <c r="Q200" i="22"/>
  <c r="P200" i="22"/>
  <c r="O200" i="22"/>
  <c r="N200" i="22"/>
  <c r="M200" i="22"/>
  <c r="L200" i="22"/>
  <c r="K200" i="22"/>
  <c r="J200" i="22"/>
  <c r="I200" i="22"/>
  <c r="H200" i="22"/>
  <c r="G200" i="22"/>
  <c r="Z199" i="22"/>
  <c r="Y199" i="22"/>
  <c r="X199" i="22"/>
  <c r="W199" i="22"/>
  <c r="V199" i="22"/>
  <c r="U199" i="22"/>
  <c r="T199" i="22"/>
  <c r="S199" i="22"/>
  <c r="R199" i="22"/>
  <c r="Q199" i="22"/>
  <c r="P199" i="22"/>
  <c r="O199" i="22"/>
  <c r="N199" i="22"/>
  <c r="M199" i="22"/>
  <c r="L199" i="22"/>
  <c r="K199" i="22"/>
  <c r="J199" i="22"/>
  <c r="I199" i="22"/>
  <c r="H199" i="22"/>
  <c r="G199" i="22"/>
  <c r="Z198" i="22"/>
  <c r="Y198" i="22"/>
  <c r="X198" i="22"/>
  <c r="W198" i="22"/>
  <c r="V198" i="22"/>
  <c r="U198" i="22"/>
  <c r="T198" i="22"/>
  <c r="S198" i="22"/>
  <c r="R198" i="22"/>
  <c r="Q198" i="22"/>
  <c r="P198" i="22"/>
  <c r="O198" i="22"/>
  <c r="N198" i="22"/>
  <c r="M198" i="22"/>
  <c r="L198" i="22"/>
  <c r="K198" i="22"/>
  <c r="J198" i="22"/>
  <c r="I198" i="22"/>
  <c r="H198" i="22"/>
  <c r="G198" i="22"/>
  <c r="Z197" i="22"/>
  <c r="Y197" i="22"/>
  <c r="X197" i="22"/>
  <c r="W197" i="22"/>
  <c r="V197" i="22"/>
  <c r="U197" i="22"/>
  <c r="T197" i="22"/>
  <c r="S197" i="22"/>
  <c r="R197" i="22"/>
  <c r="Q197" i="22"/>
  <c r="P197" i="22"/>
  <c r="O197" i="22"/>
  <c r="N197" i="22"/>
  <c r="M197" i="22"/>
  <c r="L197" i="22"/>
  <c r="K197" i="22"/>
  <c r="J197" i="22"/>
  <c r="I197" i="22"/>
  <c r="H197" i="22"/>
  <c r="G197" i="22"/>
  <c r="Z196" i="22"/>
  <c r="Y196" i="22"/>
  <c r="X196" i="22"/>
  <c r="W196" i="22"/>
  <c r="V196" i="22"/>
  <c r="U196" i="22"/>
  <c r="T196" i="22"/>
  <c r="S196" i="22"/>
  <c r="R196" i="22"/>
  <c r="Q196" i="22"/>
  <c r="P196" i="22"/>
  <c r="O196" i="22"/>
  <c r="N196" i="22"/>
  <c r="M196" i="22"/>
  <c r="L196" i="22"/>
  <c r="K196" i="22"/>
  <c r="J196" i="22"/>
  <c r="I196" i="22"/>
  <c r="H196" i="22"/>
  <c r="G196" i="22"/>
  <c r="Z195" i="22"/>
  <c r="Y195" i="22"/>
  <c r="X195" i="22"/>
  <c r="W195" i="22"/>
  <c r="V195" i="22"/>
  <c r="U195" i="22"/>
  <c r="T195" i="22"/>
  <c r="S195" i="22"/>
  <c r="R195" i="22"/>
  <c r="Q195" i="22"/>
  <c r="P195" i="22"/>
  <c r="O195" i="22"/>
  <c r="N195" i="22"/>
  <c r="M195" i="22"/>
  <c r="L195" i="22"/>
  <c r="K195" i="22"/>
  <c r="J195" i="22"/>
  <c r="I195" i="22"/>
  <c r="H195" i="22"/>
  <c r="G195" i="22"/>
  <c r="Z194" i="22"/>
  <c r="Y194" i="22"/>
  <c r="X194" i="22"/>
  <c r="W194" i="22"/>
  <c r="V194" i="22"/>
  <c r="U194" i="22"/>
  <c r="T194" i="22"/>
  <c r="S194" i="22"/>
  <c r="R194" i="22"/>
  <c r="Q194" i="22"/>
  <c r="P194" i="22"/>
  <c r="O194" i="22"/>
  <c r="N194" i="22"/>
  <c r="M194" i="22"/>
  <c r="L194" i="22"/>
  <c r="K194" i="22"/>
  <c r="J194" i="22"/>
  <c r="I194" i="22"/>
  <c r="H194" i="22"/>
  <c r="G194" i="22"/>
  <c r="Z193" i="22"/>
  <c r="Y193" i="22"/>
  <c r="X193" i="22"/>
  <c r="W193" i="22"/>
  <c r="V193" i="22"/>
  <c r="U193" i="22"/>
  <c r="T193" i="22"/>
  <c r="S193" i="22"/>
  <c r="R193" i="22"/>
  <c r="Q193" i="22"/>
  <c r="P193" i="22"/>
  <c r="O193" i="22"/>
  <c r="N193" i="22"/>
  <c r="M193" i="22"/>
  <c r="L193" i="22"/>
  <c r="K193" i="22"/>
  <c r="J193" i="22"/>
  <c r="I193" i="22"/>
  <c r="H193" i="22"/>
  <c r="G193" i="22"/>
  <c r="Z192" i="22"/>
  <c r="Y192" i="22"/>
  <c r="X192" i="22"/>
  <c r="W192" i="22"/>
  <c r="V192" i="22"/>
  <c r="U192" i="22"/>
  <c r="T192" i="22"/>
  <c r="S192" i="22"/>
  <c r="R192" i="22"/>
  <c r="Q192" i="22"/>
  <c r="P192" i="22"/>
  <c r="O192" i="22"/>
  <c r="N192" i="22"/>
  <c r="M192" i="22"/>
  <c r="L192" i="22"/>
  <c r="K192" i="22"/>
  <c r="J192" i="22"/>
  <c r="I192" i="22"/>
  <c r="H192" i="22"/>
  <c r="R176" i="22"/>
  <c r="P176" i="22"/>
  <c r="Z173" i="22"/>
  <c r="O120" i="24" s="1"/>
  <c r="O133" i="24" s="1"/>
  <c r="I317" i="24" s="1"/>
  <c r="K17" i="28" s="1"/>
  <c r="Y173" i="22"/>
  <c r="X173" i="22"/>
  <c r="N120" i="24" s="1"/>
  <c r="N133" i="24" s="1"/>
  <c r="I313" i="24" s="1"/>
  <c r="K16" i="28" s="1"/>
  <c r="W173" i="22"/>
  <c r="V173" i="22"/>
  <c r="M120" i="24" s="1"/>
  <c r="M133" i="24" s="1"/>
  <c r="I309" i="24" s="1"/>
  <c r="K15" i="28" s="1"/>
  <c r="U173" i="22"/>
  <c r="T173" i="22"/>
  <c r="L120" i="24" s="1"/>
  <c r="L133" i="24" s="1"/>
  <c r="I305" i="24" s="1"/>
  <c r="K14" i="28" s="1"/>
  <c r="S173" i="22"/>
  <c r="R173" i="22"/>
  <c r="K120" i="24" s="1"/>
  <c r="K133" i="24" s="1"/>
  <c r="I301" i="24" s="1"/>
  <c r="K13" i="28" s="1"/>
  <c r="Q173" i="22"/>
  <c r="P173" i="22"/>
  <c r="J120" i="24" s="1"/>
  <c r="J133" i="24" s="1"/>
  <c r="I297" i="24" s="1"/>
  <c r="K12" i="28" s="1"/>
  <c r="O173" i="22"/>
  <c r="N173" i="22"/>
  <c r="I120" i="24" s="1"/>
  <c r="I133" i="24" s="1"/>
  <c r="I293" i="24" s="1"/>
  <c r="K11" i="28" s="1"/>
  <c r="M173" i="22"/>
  <c r="L173" i="22"/>
  <c r="H120" i="24" s="1"/>
  <c r="H133" i="24" s="1"/>
  <c r="I289" i="24" s="1"/>
  <c r="K10" i="28" s="1"/>
  <c r="K173" i="22"/>
  <c r="J173" i="22"/>
  <c r="G120" i="24" s="1"/>
  <c r="I173" i="22"/>
  <c r="H173" i="22"/>
  <c r="F120" i="24" s="1"/>
  <c r="F133" i="24" s="1"/>
  <c r="I281" i="24" s="1"/>
  <c r="K8" i="28" s="1"/>
  <c r="G173" i="22"/>
  <c r="Z172" i="22"/>
  <c r="Y172" i="22"/>
  <c r="X172" i="22"/>
  <c r="W172" i="22"/>
  <c r="V172" i="22"/>
  <c r="U172" i="22"/>
  <c r="T172" i="22"/>
  <c r="S172" i="22"/>
  <c r="R172" i="22"/>
  <c r="Q172" i="22"/>
  <c r="P172" i="22"/>
  <c r="O172" i="22"/>
  <c r="N172" i="22"/>
  <c r="M172" i="22"/>
  <c r="L172" i="22"/>
  <c r="K172" i="22"/>
  <c r="J172" i="22"/>
  <c r="I172" i="22"/>
  <c r="H172" i="22"/>
  <c r="G172" i="22"/>
  <c r="Z171" i="22"/>
  <c r="Y171" i="22"/>
  <c r="X171" i="22"/>
  <c r="W171" i="22"/>
  <c r="V171" i="22"/>
  <c r="U171" i="22"/>
  <c r="T171" i="22"/>
  <c r="S171" i="22"/>
  <c r="R171" i="22"/>
  <c r="Q171" i="22"/>
  <c r="P171" i="22"/>
  <c r="O171" i="22"/>
  <c r="N171" i="22"/>
  <c r="M171" i="22"/>
  <c r="L171" i="22"/>
  <c r="K171" i="22"/>
  <c r="J171" i="22"/>
  <c r="I171" i="22"/>
  <c r="H171" i="22"/>
  <c r="G171" i="22"/>
  <c r="Z170" i="22"/>
  <c r="Y170" i="22"/>
  <c r="X170" i="22"/>
  <c r="W170" i="22"/>
  <c r="V170" i="22"/>
  <c r="U170" i="22"/>
  <c r="T170" i="22"/>
  <c r="S170" i="22"/>
  <c r="R170" i="22"/>
  <c r="Q170" i="22"/>
  <c r="P170" i="22"/>
  <c r="O170" i="22"/>
  <c r="N170" i="22"/>
  <c r="M170" i="22"/>
  <c r="L170" i="22"/>
  <c r="K170" i="22"/>
  <c r="J170" i="22"/>
  <c r="I170" i="22"/>
  <c r="H170" i="22"/>
  <c r="G170" i="22"/>
  <c r="Z169" i="22"/>
  <c r="Y169" i="22"/>
  <c r="X169" i="22"/>
  <c r="W169" i="22"/>
  <c r="V169" i="22"/>
  <c r="U169" i="22"/>
  <c r="T169" i="22"/>
  <c r="S169" i="22"/>
  <c r="R169" i="22"/>
  <c r="Q169" i="22"/>
  <c r="P169" i="22"/>
  <c r="O169" i="22"/>
  <c r="N169" i="22"/>
  <c r="M169" i="22"/>
  <c r="L169" i="22"/>
  <c r="K169" i="22"/>
  <c r="J169" i="22"/>
  <c r="I169" i="22"/>
  <c r="H169" i="22"/>
  <c r="G169" i="22"/>
  <c r="Z168" i="22"/>
  <c r="Y168" i="22"/>
  <c r="X168" i="22"/>
  <c r="W168" i="22"/>
  <c r="V168" i="22"/>
  <c r="U168" i="22"/>
  <c r="T168" i="22"/>
  <c r="S168" i="22"/>
  <c r="R168" i="22"/>
  <c r="Q168" i="22"/>
  <c r="P168" i="22"/>
  <c r="O168" i="22"/>
  <c r="N168" i="22"/>
  <c r="M168" i="22"/>
  <c r="L168" i="22"/>
  <c r="K168" i="22"/>
  <c r="J168" i="22"/>
  <c r="I168" i="22"/>
  <c r="H168" i="22"/>
  <c r="G168" i="22"/>
  <c r="Z167" i="22"/>
  <c r="Y167" i="22"/>
  <c r="X167" i="22"/>
  <c r="W167" i="22"/>
  <c r="V167" i="22"/>
  <c r="U167" i="22"/>
  <c r="T167" i="22"/>
  <c r="S167" i="22"/>
  <c r="R167" i="22"/>
  <c r="Q167" i="22"/>
  <c r="P167" i="22"/>
  <c r="O167" i="22"/>
  <c r="N167" i="22"/>
  <c r="M167" i="22"/>
  <c r="L167" i="22"/>
  <c r="K167" i="22"/>
  <c r="J167" i="22"/>
  <c r="I167" i="22"/>
  <c r="H167" i="22"/>
  <c r="G167" i="22"/>
  <c r="Z166" i="22"/>
  <c r="Y166" i="22"/>
  <c r="X166" i="22"/>
  <c r="W166" i="22"/>
  <c r="V166" i="22"/>
  <c r="U166" i="22"/>
  <c r="T166" i="22"/>
  <c r="S166" i="22"/>
  <c r="R166" i="22"/>
  <c r="Q166" i="22"/>
  <c r="P166" i="22"/>
  <c r="O166" i="22"/>
  <c r="N166" i="22"/>
  <c r="M166" i="22"/>
  <c r="L166" i="22"/>
  <c r="K166" i="22"/>
  <c r="J166" i="22"/>
  <c r="I166" i="22"/>
  <c r="H166" i="22"/>
  <c r="G166" i="22"/>
  <c r="Z165" i="22"/>
  <c r="Y165" i="22"/>
  <c r="X165" i="22"/>
  <c r="W165" i="22"/>
  <c r="V165" i="22"/>
  <c r="U165" i="22"/>
  <c r="T165" i="22"/>
  <c r="S165" i="22"/>
  <c r="R165" i="22"/>
  <c r="Q165" i="22"/>
  <c r="P165" i="22"/>
  <c r="O165" i="22"/>
  <c r="N165" i="22"/>
  <c r="M165" i="22"/>
  <c r="L165" i="22"/>
  <c r="K165" i="22"/>
  <c r="J165" i="22"/>
  <c r="I165" i="22"/>
  <c r="H165" i="22"/>
  <c r="G165" i="22"/>
  <c r="Z164" i="22"/>
  <c r="Y164" i="22"/>
  <c r="X164" i="22"/>
  <c r="W164" i="22"/>
  <c r="V164" i="22"/>
  <c r="U164" i="22"/>
  <c r="T164" i="22"/>
  <c r="S164" i="22"/>
  <c r="R164" i="22"/>
  <c r="Q164" i="22"/>
  <c r="P164" i="22"/>
  <c r="O164" i="22"/>
  <c r="N164" i="22"/>
  <c r="M164" i="22"/>
  <c r="L164" i="22"/>
  <c r="K164" i="22"/>
  <c r="J164" i="22"/>
  <c r="I164" i="22"/>
  <c r="H164" i="22"/>
  <c r="G164" i="22"/>
  <c r="Z148" i="22"/>
  <c r="O101" i="24" s="1"/>
  <c r="O114" i="24" s="1"/>
  <c r="H317" i="24" s="1"/>
  <c r="J17" i="28" s="1"/>
  <c r="Y148" i="22"/>
  <c r="X148" i="22"/>
  <c r="N101" i="24" s="1"/>
  <c r="W148" i="22"/>
  <c r="V148" i="22"/>
  <c r="M101" i="24" s="1"/>
  <c r="M114" i="24" s="1"/>
  <c r="H309" i="24" s="1"/>
  <c r="J15" i="28" s="1"/>
  <c r="U148" i="22"/>
  <c r="T148" i="22"/>
  <c r="L101" i="24" s="1"/>
  <c r="L114" i="24" s="1"/>
  <c r="H305" i="24" s="1"/>
  <c r="J14" i="28" s="1"/>
  <c r="S148" i="22"/>
  <c r="R148" i="22"/>
  <c r="K101" i="24" s="1"/>
  <c r="K114" i="24" s="1"/>
  <c r="H301" i="24" s="1"/>
  <c r="J13" i="28" s="1"/>
  <c r="Q148" i="22"/>
  <c r="P148" i="22"/>
  <c r="J101" i="24" s="1"/>
  <c r="O148" i="22"/>
  <c r="N148" i="22"/>
  <c r="I101" i="24" s="1"/>
  <c r="I114" i="24" s="1"/>
  <c r="H293" i="24" s="1"/>
  <c r="J11" i="28" s="1"/>
  <c r="M148" i="22"/>
  <c r="L148" i="22"/>
  <c r="H101" i="24" s="1"/>
  <c r="H114" i="24" s="1"/>
  <c r="H289" i="24" s="1"/>
  <c r="J10" i="28" s="1"/>
  <c r="K148" i="22"/>
  <c r="J148" i="22"/>
  <c r="G101" i="24" s="1"/>
  <c r="I148" i="22"/>
  <c r="H148" i="22"/>
  <c r="F101" i="24" s="1"/>
  <c r="F114" i="24" s="1"/>
  <c r="H281" i="24" s="1"/>
  <c r="J8" i="28" s="1"/>
  <c r="G148" i="22"/>
  <c r="F148" i="22"/>
  <c r="E101" i="24" s="1"/>
  <c r="E148" i="22"/>
  <c r="D148" i="22"/>
  <c r="D100" i="24" s="1"/>
  <c r="C148" i="22"/>
  <c r="Z147" i="22"/>
  <c r="Y147" i="22"/>
  <c r="X147" i="22"/>
  <c r="W147" i="22"/>
  <c r="V147" i="22"/>
  <c r="U147" i="22"/>
  <c r="T147" i="22"/>
  <c r="S147" i="22"/>
  <c r="R147" i="22"/>
  <c r="Q147" i="22"/>
  <c r="P147" i="22"/>
  <c r="O147" i="22"/>
  <c r="N147" i="22"/>
  <c r="M147" i="22"/>
  <c r="L147" i="22"/>
  <c r="K147" i="22"/>
  <c r="J147" i="22"/>
  <c r="I147" i="22"/>
  <c r="H147" i="22"/>
  <c r="G147" i="22"/>
  <c r="F147" i="22"/>
  <c r="E147" i="22"/>
  <c r="D147" i="22"/>
  <c r="C147" i="22"/>
  <c r="Z146" i="22"/>
  <c r="Y146" i="22"/>
  <c r="X146" i="22"/>
  <c r="W146" i="22"/>
  <c r="V146" i="22"/>
  <c r="U146" i="22"/>
  <c r="T146" i="22"/>
  <c r="S146" i="22"/>
  <c r="R146" i="22"/>
  <c r="Q146" i="22"/>
  <c r="P146" i="22"/>
  <c r="O146" i="22"/>
  <c r="N146" i="22"/>
  <c r="M146" i="22"/>
  <c r="L146" i="22"/>
  <c r="K146" i="22"/>
  <c r="J146" i="22"/>
  <c r="I146" i="22"/>
  <c r="H146" i="22"/>
  <c r="G146" i="22"/>
  <c r="F146" i="22"/>
  <c r="E146" i="22"/>
  <c r="D146" i="22"/>
  <c r="C146" i="22"/>
  <c r="Z145" i="22"/>
  <c r="Y145" i="22"/>
  <c r="X145" i="22"/>
  <c r="W145" i="22"/>
  <c r="V145" i="22"/>
  <c r="U145" i="22"/>
  <c r="T145" i="22"/>
  <c r="S145" i="22"/>
  <c r="R145" i="22"/>
  <c r="Q145" i="22"/>
  <c r="P145" i="22"/>
  <c r="O145" i="22"/>
  <c r="N145" i="22"/>
  <c r="M145" i="22"/>
  <c r="L145" i="22"/>
  <c r="K145" i="22"/>
  <c r="J145" i="22"/>
  <c r="I145" i="22"/>
  <c r="H145" i="22"/>
  <c r="G145" i="22"/>
  <c r="F145" i="22"/>
  <c r="E145" i="22"/>
  <c r="D145" i="22"/>
  <c r="C145" i="22"/>
  <c r="Z144" i="22"/>
  <c r="Y144" i="22"/>
  <c r="X144" i="22"/>
  <c r="W144" i="22"/>
  <c r="V144" i="22"/>
  <c r="U144" i="22"/>
  <c r="T144" i="22"/>
  <c r="S144" i="22"/>
  <c r="R144" i="22"/>
  <c r="Q144" i="22"/>
  <c r="P144" i="22"/>
  <c r="O144" i="22"/>
  <c r="N144" i="22"/>
  <c r="M144" i="22"/>
  <c r="L144" i="22"/>
  <c r="K144" i="22"/>
  <c r="J144" i="22"/>
  <c r="I144" i="22"/>
  <c r="H144" i="22"/>
  <c r="G144" i="22"/>
  <c r="F144" i="22"/>
  <c r="E144" i="22"/>
  <c r="D144" i="22"/>
  <c r="C144" i="22"/>
  <c r="Z143" i="22"/>
  <c r="Y143" i="22"/>
  <c r="X143" i="22"/>
  <c r="W143" i="22"/>
  <c r="V143" i="22"/>
  <c r="U143" i="22"/>
  <c r="T143" i="22"/>
  <c r="S143" i="22"/>
  <c r="R143" i="22"/>
  <c r="Q143" i="22"/>
  <c r="P143" i="22"/>
  <c r="O143" i="22"/>
  <c r="N143" i="22"/>
  <c r="M143" i="22"/>
  <c r="L143" i="22"/>
  <c r="K143" i="22"/>
  <c r="J143" i="22"/>
  <c r="I143" i="22"/>
  <c r="H143" i="22"/>
  <c r="G143" i="22"/>
  <c r="F143" i="22"/>
  <c r="E143" i="22"/>
  <c r="D143" i="22"/>
  <c r="C143" i="22"/>
  <c r="Z142" i="22"/>
  <c r="Y142" i="22"/>
  <c r="X142" i="22"/>
  <c r="W142" i="22"/>
  <c r="V142" i="22"/>
  <c r="U142" i="22"/>
  <c r="T142" i="22"/>
  <c r="S142" i="22"/>
  <c r="R142" i="22"/>
  <c r="Q142" i="22"/>
  <c r="P142" i="22"/>
  <c r="O142" i="22"/>
  <c r="N142" i="22"/>
  <c r="M142" i="22"/>
  <c r="L142" i="22"/>
  <c r="K142" i="22"/>
  <c r="J142" i="22"/>
  <c r="I142" i="22"/>
  <c r="H142" i="22"/>
  <c r="G142" i="22"/>
  <c r="F142" i="22"/>
  <c r="E142" i="22"/>
  <c r="D142" i="22"/>
  <c r="C142" i="22"/>
  <c r="Z141" i="22"/>
  <c r="Y141" i="22"/>
  <c r="X141" i="22"/>
  <c r="W141" i="22"/>
  <c r="V141" i="22"/>
  <c r="U141" i="22"/>
  <c r="T141" i="22"/>
  <c r="S141" i="22"/>
  <c r="R141" i="22"/>
  <c r="Q141" i="22"/>
  <c r="P141" i="22"/>
  <c r="O141" i="22"/>
  <c r="N141" i="22"/>
  <c r="M141" i="22"/>
  <c r="L141" i="22"/>
  <c r="K141" i="22"/>
  <c r="J141" i="22"/>
  <c r="I141" i="22"/>
  <c r="H141" i="22"/>
  <c r="G141" i="22"/>
  <c r="F141" i="22"/>
  <c r="E141" i="22"/>
  <c r="D141" i="22"/>
  <c r="C141" i="22"/>
  <c r="Z140" i="22"/>
  <c r="Y140" i="22"/>
  <c r="X140" i="22"/>
  <c r="W140" i="22"/>
  <c r="V140" i="22"/>
  <c r="U140" i="22"/>
  <c r="T140" i="22"/>
  <c r="S140" i="22"/>
  <c r="R140" i="22"/>
  <c r="Q140" i="22"/>
  <c r="P140" i="22"/>
  <c r="O140" i="22"/>
  <c r="N140" i="22"/>
  <c r="M140" i="22"/>
  <c r="L140" i="22"/>
  <c r="K140" i="22"/>
  <c r="J140" i="22"/>
  <c r="I140" i="22"/>
  <c r="H140" i="22"/>
  <c r="G140" i="22"/>
  <c r="F140" i="22"/>
  <c r="E140" i="22"/>
  <c r="D140" i="22"/>
  <c r="C140" i="22"/>
  <c r="Z139" i="22"/>
  <c r="Y139" i="22"/>
  <c r="X139" i="22"/>
  <c r="W139" i="22"/>
  <c r="V139" i="22"/>
  <c r="U139" i="22"/>
  <c r="T139" i="22"/>
  <c r="S139" i="22"/>
  <c r="R139" i="22"/>
  <c r="Q139" i="22"/>
  <c r="P139" i="22"/>
  <c r="O139" i="22"/>
  <c r="N139" i="22"/>
  <c r="M139" i="22"/>
  <c r="L139" i="22"/>
  <c r="K139" i="22"/>
  <c r="J139" i="22"/>
  <c r="I139" i="22"/>
  <c r="H139" i="22"/>
  <c r="G139" i="22"/>
  <c r="F139" i="22"/>
  <c r="E139" i="22"/>
  <c r="D139" i="22"/>
  <c r="C139" i="22"/>
  <c r="Z121" i="22"/>
  <c r="O82" i="24" s="1"/>
  <c r="O95" i="24" s="1"/>
  <c r="G317" i="24" s="1"/>
  <c r="I17" i="28" s="1"/>
  <c r="Y121" i="22"/>
  <c r="X121" i="22"/>
  <c r="N82" i="24" s="1"/>
  <c r="N95" i="24" s="1"/>
  <c r="G313" i="24" s="1"/>
  <c r="I16" i="28" s="1"/>
  <c r="W121" i="22"/>
  <c r="V121" i="22"/>
  <c r="M82" i="24" s="1"/>
  <c r="M95" i="24" s="1"/>
  <c r="G309" i="24" s="1"/>
  <c r="I15" i="28" s="1"/>
  <c r="U121" i="22"/>
  <c r="T121" i="22"/>
  <c r="L82" i="24" s="1"/>
  <c r="L95" i="24" s="1"/>
  <c r="G305" i="24" s="1"/>
  <c r="I14" i="28" s="1"/>
  <c r="S121" i="22"/>
  <c r="R121" i="22"/>
  <c r="K82" i="24" s="1"/>
  <c r="K95" i="24" s="1"/>
  <c r="G301" i="24" s="1"/>
  <c r="I13" i="28" s="1"/>
  <c r="Q121" i="22"/>
  <c r="P121" i="22"/>
  <c r="J82" i="24" s="1"/>
  <c r="J95" i="24" s="1"/>
  <c r="G297" i="24" s="1"/>
  <c r="I12" i="28" s="1"/>
  <c r="O121" i="22"/>
  <c r="N121" i="22"/>
  <c r="I82" i="24" s="1"/>
  <c r="I95" i="24" s="1"/>
  <c r="G293" i="24" s="1"/>
  <c r="I11" i="28" s="1"/>
  <c r="M121" i="22"/>
  <c r="L121" i="22"/>
  <c r="H82" i="24" s="1"/>
  <c r="H95" i="24" s="1"/>
  <c r="G289" i="24" s="1"/>
  <c r="I10" i="28" s="1"/>
  <c r="K121" i="22"/>
  <c r="J121" i="22"/>
  <c r="G82" i="24" s="1"/>
  <c r="I121" i="22"/>
  <c r="H121" i="22"/>
  <c r="F82" i="24" s="1"/>
  <c r="F95" i="24" s="1"/>
  <c r="G281" i="24" s="1"/>
  <c r="I8" i="28" s="1"/>
  <c r="G121" i="22"/>
  <c r="F121" i="22"/>
  <c r="E82" i="24" s="1"/>
  <c r="E95" i="24" s="1"/>
  <c r="G277" i="24" s="1"/>
  <c r="I7" i="28" s="1"/>
  <c r="E121" i="22"/>
  <c r="D121" i="22"/>
  <c r="D82" i="24" s="1"/>
  <c r="D95" i="24" s="1"/>
  <c r="G273" i="24" s="1"/>
  <c r="I6" i="28" s="1"/>
  <c r="C121" i="22"/>
  <c r="Z120" i="22"/>
  <c r="Y120" i="22"/>
  <c r="X120" i="22"/>
  <c r="W120" i="22"/>
  <c r="V120" i="22"/>
  <c r="U120" i="22"/>
  <c r="T120" i="22"/>
  <c r="S120" i="22"/>
  <c r="R120" i="22"/>
  <c r="Q120" i="22"/>
  <c r="P120" i="22"/>
  <c r="O120" i="22"/>
  <c r="N120" i="22"/>
  <c r="M120" i="22"/>
  <c r="L120" i="22"/>
  <c r="K120" i="22"/>
  <c r="J120" i="22"/>
  <c r="I120" i="22"/>
  <c r="H120" i="22"/>
  <c r="G120" i="22"/>
  <c r="F120" i="22"/>
  <c r="E120" i="22"/>
  <c r="D120" i="22"/>
  <c r="C120" i="22"/>
  <c r="Z119" i="22"/>
  <c r="Y119" i="22"/>
  <c r="X119" i="22"/>
  <c r="W119" i="22"/>
  <c r="V119" i="22"/>
  <c r="U119" i="22"/>
  <c r="T119" i="22"/>
  <c r="S119" i="22"/>
  <c r="R119" i="22"/>
  <c r="Q119" i="22"/>
  <c r="P119" i="22"/>
  <c r="O119" i="22"/>
  <c r="N119" i="22"/>
  <c r="M119" i="22"/>
  <c r="L119" i="22"/>
  <c r="K119" i="22"/>
  <c r="J119" i="22"/>
  <c r="I119" i="22"/>
  <c r="H119" i="22"/>
  <c r="G119" i="22"/>
  <c r="F119" i="22"/>
  <c r="E119" i="22"/>
  <c r="D119" i="22"/>
  <c r="C119" i="22"/>
  <c r="Z118" i="22"/>
  <c r="Y118" i="22"/>
  <c r="X118" i="22"/>
  <c r="W118" i="22"/>
  <c r="V118" i="22"/>
  <c r="U118" i="22"/>
  <c r="T118" i="22"/>
  <c r="S118" i="22"/>
  <c r="R118" i="22"/>
  <c r="Q118" i="22"/>
  <c r="P118" i="22"/>
  <c r="O118" i="22"/>
  <c r="N118" i="22"/>
  <c r="M118" i="22"/>
  <c r="L118" i="22"/>
  <c r="K118" i="22"/>
  <c r="J118" i="22"/>
  <c r="I118" i="22"/>
  <c r="H118" i="22"/>
  <c r="G118" i="22"/>
  <c r="F118" i="22"/>
  <c r="E118" i="22"/>
  <c r="D118" i="22"/>
  <c r="C118" i="22"/>
  <c r="Z117" i="22"/>
  <c r="Y117" i="22"/>
  <c r="X117" i="22"/>
  <c r="W117" i="22"/>
  <c r="V117" i="22"/>
  <c r="U117" i="22"/>
  <c r="T117" i="22"/>
  <c r="S117" i="22"/>
  <c r="R117" i="22"/>
  <c r="Q117" i="22"/>
  <c r="P117" i="22"/>
  <c r="O117" i="22"/>
  <c r="N117" i="22"/>
  <c r="M117" i="22"/>
  <c r="L117" i="22"/>
  <c r="K117" i="22"/>
  <c r="J117" i="22"/>
  <c r="I117" i="22"/>
  <c r="H117" i="22"/>
  <c r="G117" i="22"/>
  <c r="F117" i="22"/>
  <c r="E117" i="22"/>
  <c r="D117" i="22"/>
  <c r="C117" i="22"/>
  <c r="Z116" i="22"/>
  <c r="Y116" i="22"/>
  <c r="X116" i="22"/>
  <c r="W116" i="22"/>
  <c r="V116" i="22"/>
  <c r="U116" i="22"/>
  <c r="T116" i="22"/>
  <c r="S116" i="22"/>
  <c r="R116" i="22"/>
  <c r="Q116" i="22"/>
  <c r="P116" i="22"/>
  <c r="O116" i="22"/>
  <c r="N116" i="22"/>
  <c r="M116" i="22"/>
  <c r="L116" i="22"/>
  <c r="K116" i="22"/>
  <c r="J116" i="22"/>
  <c r="I116" i="22"/>
  <c r="H116" i="22"/>
  <c r="G116" i="22"/>
  <c r="F116" i="22"/>
  <c r="E116" i="22"/>
  <c r="D116" i="22"/>
  <c r="C116" i="22"/>
  <c r="Z115" i="22"/>
  <c r="Y115" i="22"/>
  <c r="X115" i="22"/>
  <c r="W115" i="22"/>
  <c r="V115" i="22"/>
  <c r="U115" i="22"/>
  <c r="T115" i="22"/>
  <c r="S115" i="22"/>
  <c r="R115" i="22"/>
  <c r="Q115" i="22"/>
  <c r="P115" i="22"/>
  <c r="O115" i="22"/>
  <c r="N115" i="22"/>
  <c r="M115" i="22"/>
  <c r="L115" i="22"/>
  <c r="K115" i="22"/>
  <c r="J115" i="22"/>
  <c r="I115" i="22"/>
  <c r="H115" i="22"/>
  <c r="G115" i="22"/>
  <c r="F115" i="22"/>
  <c r="E115" i="22"/>
  <c r="D115" i="22"/>
  <c r="C115" i="22"/>
  <c r="Z114" i="22"/>
  <c r="Y114" i="22"/>
  <c r="X114" i="22"/>
  <c r="W114" i="22"/>
  <c r="V114" i="22"/>
  <c r="U114" i="22"/>
  <c r="T114" i="22"/>
  <c r="S114" i="22"/>
  <c r="R114" i="22"/>
  <c r="Q114" i="22"/>
  <c r="P114" i="22"/>
  <c r="O114" i="22"/>
  <c r="N114" i="22"/>
  <c r="M114" i="22"/>
  <c r="L114" i="22"/>
  <c r="K114" i="22"/>
  <c r="J114" i="22"/>
  <c r="I114" i="22"/>
  <c r="H114" i="22"/>
  <c r="G114" i="22"/>
  <c r="F114" i="22"/>
  <c r="E114" i="22"/>
  <c r="D114" i="22"/>
  <c r="C114" i="22"/>
  <c r="Z113" i="22"/>
  <c r="Y113" i="22"/>
  <c r="X113" i="22"/>
  <c r="W113" i="22"/>
  <c r="V113" i="22"/>
  <c r="U113" i="22"/>
  <c r="T113" i="22"/>
  <c r="S113" i="22"/>
  <c r="R113" i="22"/>
  <c r="Q113" i="22"/>
  <c r="P113" i="22"/>
  <c r="O113" i="22"/>
  <c r="N113" i="22"/>
  <c r="M113" i="22"/>
  <c r="L113" i="22"/>
  <c r="K113" i="22"/>
  <c r="J113" i="22"/>
  <c r="I113" i="22"/>
  <c r="H113" i="22"/>
  <c r="G113" i="22"/>
  <c r="F113" i="22"/>
  <c r="E113" i="22"/>
  <c r="D113" i="22"/>
  <c r="C113" i="22"/>
  <c r="Z112" i="22"/>
  <c r="Y112" i="22"/>
  <c r="X112" i="22"/>
  <c r="W112" i="22"/>
  <c r="V112" i="22"/>
  <c r="U112" i="22"/>
  <c r="T112" i="22"/>
  <c r="S112" i="22"/>
  <c r="R112" i="22"/>
  <c r="Q112" i="22"/>
  <c r="P112" i="22"/>
  <c r="O112" i="22"/>
  <c r="N112" i="22"/>
  <c r="M112" i="22"/>
  <c r="L112" i="22"/>
  <c r="K112" i="22"/>
  <c r="J112" i="22"/>
  <c r="I112" i="22"/>
  <c r="H112" i="22"/>
  <c r="G112" i="22"/>
  <c r="F112" i="22"/>
  <c r="E112" i="22"/>
  <c r="D112" i="22"/>
  <c r="C112" i="22"/>
  <c r="Z92" i="22"/>
  <c r="O63" i="24" s="1"/>
  <c r="O76" i="24" s="1"/>
  <c r="F317" i="24" s="1"/>
  <c r="H17" i="28" s="1"/>
  <c r="Y92" i="22"/>
  <c r="X92" i="22"/>
  <c r="N63" i="24" s="1"/>
  <c r="N76" i="24" s="1"/>
  <c r="F313" i="24" s="1"/>
  <c r="H16" i="28" s="1"/>
  <c r="W92" i="22"/>
  <c r="V92" i="22"/>
  <c r="M63" i="24" s="1"/>
  <c r="M76" i="24" s="1"/>
  <c r="F309" i="24" s="1"/>
  <c r="H15" i="28" s="1"/>
  <c r="U92" i="22"/>
  <c r="T92" i="22"/>
  <c r="L63" i="24" s="1"/>
  <c r="L76" i="24" s="1"/>
  <c r="F305" i="24" s="1"/>
  <c r="H14" i="28" s="1"/>
  <c r="S92" i="22"/>
  <c r="R92" i="22"/>
  <c r="K63" i="24" s="1"/>
  <c r="K76" i="24" s="1"/>
  <c r="F301" i="24" s="1"/>
  <c r="H13" i="28" s="1"/>
  <c r="Q92" i="22"/>
  <c r="P92" i="22"/>
  <c r="J63" i="24" s="1"/>
  <c r="O92" i="22"/>
  <c r="N92" i="22"/>
  <c r="I63" i="24" s="1"/>
  <c r="M92" i="22"/>
  <c r="L92" i="22"/>
  <c r="H63" i="24" s="1"/>
  <c r="K92" i="22"/>
  <c r="J92" i="22"/>
  <c r="G63" i="24" s="1"/>
  <c r="G76" i="24" s="1"/>
  <c r="I92" i="22"/>
  <c r="H92" i="22"/>
  <c r="F63" i="24" s="1"/>
  <c r="G92" i="22"/>
  <c r="F92" i="22"/>
  <c r="E63" i="24" s="1"/>
  <c r="E92" i="22"/>
  <c r="D92" i="22"/>
  <c r="D63" i="24" s="1"/>
  <c r="D76" i="24" s="1"/>
  <c r="F273" i="24" s="1"/>
  <c r="C92" i="22"/>
  <c r="Z91" i="22"/>
  <c r="Y91" i="22"/>
  <c r="X91" i="22"/>
  <c r="W91" i="22"/>
  <c r="V91" i="22"/>
  <c r="U91" i="22"/>
  <c r="T91" i="22"/>
  <c r="S91" i="22"/>
  <c r="R91" i="22"/>
  <c r="Q91" i="22"/>
  <c r="P91" i="22"/>
  <c r="O91" i="22"/>
  <c r="N91" i="22"/>
  <c r="M91" i="22"/>
  <c r="L91" i="22"/>
  <c r="K91" i="22"/>
  <c r="J91" i="22"/>
  <c r="I91" i="22"/>
  <c r="H91" i="22"/>
  <c r="G91" i="22"/>
  <c r="F91" i="22"/>
  <c r="E91" i="22"/>
  <c r="D91" i="22"/>
  <c r="C91" i="22"/>
  <c r="Z90" i="22"/>
  <c r="Y90" i="22"/>
  <c r="X90" i="22"/>
  <c r="W90" i="22"/>
  <c r="V90" i="22"/>
  <c r="U90" i="22"/>
  <c r="T90" i="22"/>
  <c r="S90" i="22"/>
  <c r="R90" i="22"/>
  <c r="Q90" i="22"/>
  <c r="P90" i="22"/>
  <c r="O90" i="22"/>
  <c r="N90" i="22"/>
  <c r="M90" i="22"/>
  <c r="L90" i="22"/>
  <c r="K90" i="22"/>
  <c r="J90" i="22"/>
  <c r="I90" i="22"/>
  <c r="H90" i="22"/>
  <c r="G90" i="22"/>
  <c r="F90" i="22"/>
  <c r="E90" i="22"/>
  <c r="D90" i="22"/>
  <c r="C90" i="22"/>
  <c r="Z89" i="22"/>
  <c r="Y89" i="22"/>
  <c r="X89" i="22"/>
  <c r="W89" i="22"/>
  <c r="V89" i="22"/>
  <c r="U89" i="22"/>
  <c r="T89" i="22"/>
  <c r="S89" i="22"/>
  <c r="R89" i="22"/>
  <c r="Q89" i="22"/>
  <c r="P89" i="22"/>
  <c r="O89" i="22"/>
  <c r="N89" i="22"/>
  <c r="M89" i="22"/>
  <c r="L89" i="22"/>
  <c r="K89" i="22"/>
  <c r="J89" i="22"/>
  <c r="I89" i="22"/>
  <c r="H89" i="22"/>
  <c r="G89" i="22"/>
  <c r="F89" i="22"/>
  <c r="E89" i="22"/>
  <c r="D89" i="22"/>
  <c r="C89" i="22"/>
  <c r="Z88" i="22"/>
  <c r="Y88" i="22"/>
  <c r="X88" i="22"/>
  <c r="W88" i="22"/>
  <c r="V88" i="22"/>
  <c r="U88" i="22"/>
  <c r="T88" i="22"/>
  <c r="S88" i="22"/>
  <c r="R88" i="22"/>
  <c r="Q88" i="22"/>
  <c r="P88" i="22"/>
  <c r="O88" i="22"/>
  <c r="N88" i="22"/>
  <c r="M88" i="22"/>
  <c r="L88" i="22"/>
  <c r="K88" i="22"/>
  <c r="J88" i="22"/>
  <c r="I88" i="22"/>
  <c r="H88" i="22"/>
  <c r="G88" i="22"/>
  <c r="F88" i="22"/>
  <c r="E88" i="22"/>
  <c r="D88" i="22"/>
  <c r="C88" i="22"/>
  <c r="Z87" i="22"/>
  <c r="Y87" i="22"/>
  <c r="X87" i="22"/>
  <c r="W87" i="22"/>
  <c r="V87" i="22"/>
  <c r="U87" i="22"/>
  <c r="T87" i="22"/>
  <c r="S87" i="22"/>
  <c r="R87" i="22"/>
  <c r="Q87" i="22"/>
  <c r="P87" i="22"/>
  <c r="O87" i="22"/>
  <c r="N87" i="22"/>
  <c r="M87" i="22"/>
  <c r="L87" i="22"/>
  <c r="K87" i="22"/>
  <c r="J87" i="22"/>
  <c r="I87" i="22"/>
  <c r="H87" i="22"/>
  <c r="G87" i="22"/>
  <c r="F87" i="22"/>
  <c r="E87" i="22"/>
  <c r="D87" i="22"/>
  <c r="C87" i="22"/>
  <c r="Z86" i="22"/>
  <c r="Y86" i="22"/>
  <c r="X86" i="22"/>
  <c r="W86" i="22"/>
  <c r="V86" i="22"/>
  <c r="U86" i="22"/>
  <c r="T86" i="22"/>
  <c r="S86" i="22"/>
  <c r="R86" i="22"/>
  <c r="Q86" i="22"/>
  <c r="P86" i="22"/>
  <c r="O86" i="22"/>
  <c r="N86" i="22"/>
  <c r="M86" i="22"/>
  <c r="L86" i="22"/>
  <c r="K86" i="22"/>
  <c r="J86" i="22"/>
  <c r="I86" i="22"/>
  <c r="H86" i="22"/>
  <c r="G86" i="22"/>
  <c r="F86" i="22"/>
  <c r="E86" i="22"/>
  <c r="D86" i="22"/>
  <c r="C86" i="22"/>
  <c r="Z85" i="22"/>
  <c r="Y85" i="22"/>
  <c r="X85" i="22"/>
  <c r="W85" i="22"/>
  <c r="V85" i="22"/>
  <c r="U85" i="22"/>
  <c r="T85" i="22"/>
  <c r="S85" i="22"/>
  <c r="R85" i="22"/>
  <c r="Q85" i="22"/>
  <c r="P85" i="22"/>
  <c r="O85" i="22"/>
  <c r="N85" i="22"/>
  <c r="M85" i="22"/>
  <c r="L85" i="22"/>
  <c r="K85" i="22"/>
  <c r="J85" i="22"/>
  <c r="I85" i="22"/>
  <c r="H85" i="22"/>
  <c r="G85" i="22"/>
  <c r="F85" i="22"/>
  <c r="E85" i="22"/>
  <c r="D85" i="22"/>
  <c r="C85" i="22"/>
  <c r="Z84" i="22"/>
  <c r="Y84" i="22"/>
  <c r="X84" i="22"/>
  <c r="W84" i="22"/>
  <c r="V84" i="22"/>
  <c r="U84" i="22"/>
  <c r="T84" i="22"/>
  <c r="S84" i="22"/>
  <c r="R84" i="22"/>
  <c r="Q84" i="22"/>
  <c r="P84" i="22"/>
  <c r="O84" i="22"/>
  <c r="N84" i="22"/>
  <c r="M84" i="22"/>
  <c r="L84" i="22"/>
  <c r="K84" i="22"/>
  <c r="J84" i="22"/>
  <c r="I84" i="22"/>
  <c r="H84" i="22"/>
  <c r="G84" i="22"/>
  <c r="F84" i="22"/>
  <c r="E84" i="22"/>
  <c r="D84" i="22"/>
  <c r="C84" i="22"/>
  <c r="Z83" i="22"/>
  <c r="Y83" i="22"/>
  <c r="X83" i="22"/>
  <c r="W83" i="22"/>
  <c r="V83" i="22"/>
  <c r="U83" i="22"/>
  <c r="T83" i="22"/>
  <c r="S83" i="22"/>
  <c r="R83" i="22"/>
  <c r="Q83" i="22"/>
  <c r="P83" i="22"/>
  <c r="O83" i="22"/>
  <c r="N83" i="22"/>
  <c r="M83" i="22"/>
  <c r="L83" i="22"/>
  <c r="K83" i="22"/>
  <c r="J83" i="22"/>
  <c r="I83" i="22"/>
  <c r="H83" i="22"/>
  <c r="G83" i="22"/>
  <c r="F83" i="22"/>
  <c r="E83" i="22"/>
  <c r="D83" i="22"/>
  <c r="C83" i="22"/>
  <c r="Z67" i="22"/>
  <c r="O35" i="24" s="1"/>
  <c r="Y67" i="22"/>
  <c r="X67" i="22"/>
  <c r="N35" i="24" s="1"/>
  <c r="W67" i="22"/>
  <c r="V67" i="22"/>
  <c r="M35" i="24" s="1"/>
  <c r="U67" i="22"/>
  <c r="T67" i="22"/>
  <c r="L35" i="24" s="1"/>
  <c r="S67" i="22"/>
  <c r="R67" i="22"/>
  <c r="K35" i="24" s="1"/>
  <c r="Q67" i="22"/>
  <c r="P67" i="22"/>
  <c r="J35" i="24" s="1"/>
  <c r="O67" i="22"/>
  <c r="N67" i="22"/>
  <c r="I35" i="24" s="1"/>
  <c r="M67" i="22"/>
  <c r="L67" i="22"/>
  <c r="H35" i="24" s="1"/>
  <c r="K67" i="22"/>
  <c r="J67" i="22"/>
  <c r="G35" i="24" s="1"/>
  <c r="I67" i="22"/>
  <c r="H67" i="22"/>
  <c r="F35" i="24" s="1"/>
  <c r="G67" i="22"/>
  <c r="F67" i="22"/>
  <c r="E35" i="24" s="1"/>
  <c r="E67" i="22"/>
  <c r="D67" i="22"/>
  <c r="D35" i="24" s="1"/>
  <c r="C67" i="22"/>
  <c r="Z66" i="22"/>
  <c r="Y66" i="22"/>
  <c r="X66" i="22"/>
  <c r="W66" i="22"/>
  <c r="V66" i="22"/>
  <c r="U66" i="22"/>
  <c r="T66" i="22"/>
  <c r="S66" i="22"/>
  <c r="R66" i="22"/>
  <c r="Q66" i="22"/>
  <c r="P66" i="22"/>
  <c r="O66" i="22"/>
  <c r="N66" i="22"/>
  <c r="M66" i="22"/>
  <c r="L66" i="22"/>
  <c r="K66" i="22"/>
  <c r="J66" i="22"/>
  <c r="I66" i="22"/>
  <c r="H66" i="22"/>
  <c r="G66" i="22"/>
  <c r="F66" i="22"/>
  <c r="E66" i="22"/>
  <c r="D66" i="22"/>
  <c r="C66" i="22"/>
  <c r="Z65" i="22"/>
  <c r="Y65" i="22"/>
  <c r="X65" i="22"/>
  <c r="W65" i="22"/>
  <c r="V65" i="22"/>
  <c r="U65" i="22"/>
  <c r="T65" i="22"/>
  <c r="S65" i="22"/>
  <c r="R65" i="22"/>
  <c r="Q65" i="22"/>
  <c r="P65" i="22"/>
  <c r="O65" i="22"/>
  <c r="N65" i="22"/>
  <c r="M65" i="22"/>
  <c r="L65" i="22"/>
  <c r="K65" i="22"/>
  <c r="J65" i="22"/>
  <c r="I65" i="22"/>
  <c r="H65" i="22"/>
  <c r="G65" i="22"/>
  <c r="F65" i="22"/>
  <c r="E65" i="22"/>
  <c r="D65" i="22"/>
  <c r="C65" i="22"/>
  <c r="Z64" i="22"/>
  <c r="Y64" i="22"/>
  <c r="X64" i="22"/>
  <c r="W64" i="22"/>
  <c r="V64" i="22"/>
  <c r="U64" i="22"/>
  <c r="T64" i="22"/>
  <c r="S64" i="22"/>
  <c r="R64" i="22"/>
  <c r="Q64" i="22"/>
  <c r="P64" i="22"/>
  <c r="O64" i="22"/>
  <c r="N64" i="22"/>
  <c r="M64" i="22"/>
  <c r="L64" i="22"/>
  <c r="K64" i="22"/>
  <c r="J64" i="22"/>
  <c r="I64" i="22"/>
  <c r="H64" i="22"/>
  <c r="G64" i="22"/>
  <c r="F64" i="22"/>
  <c r="E64" i="22"/>
  <c r="D64" i="22"/>
  <c r="C64" i="22"/>
  <c r="Z63" i="22"/>
  <c r="Y63" i="22"/>
  <c r="X63" i="22"/>
  <c r="W63" i="22"/>
  <c r="V63" i="22"/>
  <c r="U63" i="22"/>
  <c r="T63" i="22"/>
  <c r="S63" i="22"/>
  <c r="R63" i="22"/>
  <c r="Q63" i="22"/>
  <c r="P63" i="22"/>
  <c r="O63" i="22"/>
  <c r="N63" i="22"/>
  <c r="M63" i="22"/>
  <c r="L63" i="22"/>
  <c r="K63" i="22"/>
  <c r="J63" i="22"/>
  <c r="I63" i="22"/>
  <c r="H63" i="22"/>
  <c r="G63" i="22"/>
  <c r="F63" i="22"/>
  <c r="E63" i="22"/>
  <c r="D63" i="22"/>
  <c r="C63" i="22"/>
  <c r="Z62" i="22"/>
  <c r="Y62" i="22"/>
  <c r="X62" i="22"/>
  <c r="W62" i="22"/>
  <c r="V62" i="22"/>
  <c r="U62" i="22"/>
  <c r="T62" i="22"/>
  <c r="S62" i="22"/>
  <c r="R62" i="22"/>
  <c r="Q62" i="22"/>
  <c r="P62" i="22"/>
  <c r="O62" i="22"/>
  <c r="N62" i="22"/>
  <c r="M62" i="22"/>
  <c r="L62" i="22"/>
  <c r="K62" i="22"/>
  <c r="J62" i="22"/>
  <c r="I62" i="22"/>
  <c r="H62" i="22"/>
  <c r="G62" i="22"/>
  <c r="F62" i="22"/>
  <c r="E62" i="22"/>
  <c r="D62" i="22"/>
  <c r="C62" i="22"/>
  <c r="Z61" i="22"/>
  <c r="Y61" i="22"/>
  <c r="X61" i="22"/>
  <c r="W61" i="22"/>
  <c r="V61" i="22"/>
  <c r="U61" i="22"/>
  <c r="T61" i="22"/>
  <c r="S61" i="22"/>
  <c r="R61" i="22"/>
  <c r="Q61" i="22"/>
  <c r="P61" i="22"/>
  <c r="O61" i="22"/>
  <c r="N61" i="22"/>
  <c r="M61" i="22"/>
  <c r="L61" i="22"/>
  <c r="K61" i="22"/>
  <c r="J61" i="22"/>
  <c r="I61" i="22"/>
  <c r="H61" i="22"/>
  <c r="G61" i="22"/>
  <c r="F61" i="22"/>
  <c r="E61" i="22"/>
  <c r="D61" i="22"/>
  <c r="C61" i="22"/>
  <c r="Z60" i="22"/>
  <c r="Y60" i="22"/>
  <c r="X60" i="22"/>
  <c r="W60" i="22"/>
  <c r="V60" i="22"/>
  <c r="U60" i="22"/>
  <c r="T60" i="22"/>
  <c r="S60" i="22"/>
  <c r="R60" i="22"/>
  <c r="Q60" i="22"/>
  <c r="P60" i="22"/>
  <c r="O60" i="22"/>
  <c r="N60" i="22"/>
  <c r="M60" i="22"/>
  <c r="L60" i="22"/>
  <c r="K60" i="22"/>
  <c r="J60" i="22"/>
  <c r="I60" i="22"/>
  <c r="H60" i="22"/>
  <c r="G60" i="22"/>
  <c r="F60" i="22"/>
  <c r="E60" i="22"/>
  <c r="D60" i="22"/>
  <c r="C60" i="22"/>
  <c r="Z59" i="22"/>
  <c r="Y59" i="22"/>
  <c r="X59" i="22"/>
  <c r="W59" i="22"/>
  <c r="V59" i="22"/>
  <c r="U59" i="22"/>
  <c r="T59" i="22"/>
  <c r="S59" i="22"/>
  <c r="R59" i="22"/>
  <c r="Q59" i="22"/>
  <c r="P59" i="22"/>
  <c r="O59" i="22"/>
  <c r="N59" i="22"/>
  <c r="M59" i="22"/>
  <c r="L59" i="22"/>
  <c r="K59" i="22"/>
  <c r="J59" i="22"/>
  <c r="I59" i="22"/>
  <c r="H59" i="22"/>
  <c r="G59" i="22"/>
  <c r="F59" i="22"/>
  <c r="E59" i="22"/>
  <c r="D59" i="22"/>
  <c r="C59" i="22"/>
  <c r="Z58" i="22"/>
  <c r="Y58" i="22"/>
  <c r="X58" i="22"/>
  <c r="W58" i="22"/>
  <c r="V58" i="22"/>
  <c r="U58" i="22"/>
  <c r="T58" i="22"/>
  <c r="S58" i="22"/>
  <c r="R58" i="22"/>
  <c r="Q58" i="22"/>
  <c r="P58" i="22"/>
  <c r="O58" i="22"/>
  <c r="N58" i="22"/>
  <c r="M58" i="22"/>
  <c r="L58" i="22"/>
  <c r="K58" i="22"/>
  <c r="J58" i="22"/>
  <c r="I58" i="22"/>
  <c r="H58" i="22"/>
  <c r="G58" i="22"/>
  <c r="F58" i="22"/>
  <c r="E58" i="22"/>
  <c r="D58" i="22"/>
  <c r="C58" i="22"/>
  <c r="Z42" i="22"/>
  <c r="O7" i="24" s="1"/>
  <c r="Y42" i="22"/>
  <c r="X42" i="22"/>
  <c r="N7" i="24" s="1"/>
  <c r="W42" i="22"/>
  <c r="V42" i="22"/>
  <c r="M7" i="24" s="1"/>
  <c r="U42" i="22"/>
  <c r="T42" i="22"/>
  <c r="L7" i="24" s="1"/>
  <c r="S42" i="22"/>
  <c r="R42" i="22"/>
  <c r="K7" i="24" s="1"/>
  <c r="Q42" i="22"/>
  <c r="P42" i="22"/>
  <c r="J7" i="24" s="1"/>
  <c r="O42" i="22"/>
  <c r="N42" i="22"/>
  <c r="I7" i="24" s="1"/>
  <c r="M42" i="22"/>
  <c r="L42" i="22"/>
  <c r="H7" i="24" s="1"/>
  <c r="K42" i="22"/>
  <c r="J42" i="22"/>
  <c r="G7" i="24" s="1"/>
  <c r="I42" i="22"/>
  <c r="H42" i="22"/>
  <c r="F7" i="24" s="1"/>
  <c r="G42" i="22"/>
  <c r="F42" i="22"/>
  <c r="E7" i="24" s="1"/>
  <c r="E26" i="24" s="1"/>
  <c r="E29" i="24" s="1"/>
  <c r="D277" i="24" s="1"/>
  <c r="E42" i="22"/>
  <c r="D42" i="22"/>
  <c r="D7" i="24" s="1"/>
  <c r="D26" i="24" s="1"/>
  <c r="D29" i="24" s="1"/>
  <c r="D273" i="24" s="1"/>
  <c r="C42" i="22"/>
  <c r="Z41" i="22"/>
  <c r="Y41" i="22"/>
  <c r="X41" i="22"/>
  <c r="W41" i="22"/>
  <c r="V41" i="22"/>
  <c r="U41" i="22"/>
  <c r="T41" i="22"/>
  <c r="S41" i="22"/>
  <c r="R41" i="22"/>
  <c r="Q41" i="22"/>
  <c r="P41" i="22"/>
  <c r="O41" i="22"/>
  <c r="N41" i="22"/>
  <c r="M41" i="22"/>
  <c r="L41" i="22"/>
  <c r="K41" i="22"/>
  <c r="J41" i="22"/>
  <c r="I41" i="22"/>
  <c r="H41" i="22"/>
  <c r="G41" i="22"/>
  <c r="F41" i="22"/>
  <c r="E41" i="22"/>
  <c r="D41" i="22"/>
  <c r="C41" i="22"/>
  <c r="Z40" i="22"/>
  <c r="Y40" i="22"/>
  <c r="X40" i="22"/>
  <c r="W40" i="22"/>
  <c r="V40" i="22"/>
  <c r="U40" i="22"/>
  <c r="T40" i="22"/>
  <c r="S40" i="22"/>
  <c r="R40" i="22"/>
  <c r="Q40" i="22"/>
  <c r="P40" i="22"/>
  <c r="O40" i="22"/>
  <c r="N40" i="22"/>
  <c r="M40" i="22"/>
  <c r="L40" i="22"/>
  <c r="K40" i="22"/>
  <c r="J40" i="22"/>
  <c r="I40" i="22"/>
  <c r="H40" i="22"/>
  <c r="G40" i="22"/>
  <c r="F40" i="22"/>
  <c r="E40" i="22"/>
  <c r="D40" i="22"/>
  <c r="C40" i="22"/>
  <c r="Z39" i="22"/>
  <c r="Y39" i="22"/>
  <c r="X39" i="22"/>
  <c r="W39" i="22"/>
  <c r="V39" i="22"/>
  <c r="U39" i="22"/>
  <c r="T39" i="22"/>
  <c r="S39" i="22"/>
  <c r="R39" i="22"/>
  <c r="Q39" i="22"/>
  <c r="P39" i="22"/>
  <c r="O39" i="22"/>
  <c r="N39" i="22"/>
  <c r="M39" i="22"/>
  <c r="L39" i="22"/>
  <c r="K39" i="22"/>
  <c r="J39" i="22"/>
  <c r="I39" i="22"/>
  <c r="H39" i="22"/>
  <c r="G39" i="22"/>
  <c r="F39" i="22"/>
  <c r="E39" i="22"/>
  <c r="D39" i="22"/>
  <c r="C39" i="22"/>
  <c r="Z38" i="22"/>
  <c r="Y38" i="22"/>
  <c r="X38" i="22"/>
  <c r="W38" i="22"/>
  <c r="V38" i="22"/>
  <c r="U38" i="22"/>
  <c r="T38" i="22"/>
  <c r="S38" i="22"/>
  <c r="R38" i="22"/>
  <c r="Q38" i="22"/>
  <c r="P38" i="22"/>
  <c r="O38" i="22"/>
  <c r="N38" i="22"/>
  <c r="M38" i="22"/>
  <c r="L38" i="22"/>
  <c r="K38" i="22"/>
  <c r="J38" i="22"/>
  <c r="I38" i="22"/>
  <c r="H38" i="22"/>
  <c r="G38" i="22"/>
  <c r="F38" i="22"/>
  <c r="E38" i="22"/>
  <c r="D38" i="22"/>
  <c r="C38" i="22"/>
  <c r="Z37" i="22"/>
  <c r="Y37" i="22"/>
  <c r="X37" i="22"/>
  <c r="W37" i="22"/>
  <c r="V37" i="22"/>
  <c r="U37" i="22"/>
  <c r="T37" i="22"/>
  <c r="S37" i="22"/>
  <c r="R37" i="22"/>
  <c r="Q37" i="22"/>
  <c r="P37" i="22"/>
  <c r="O37" i="22"/>
  <c r="N37" i="22"/>
  <c r="M37" i="22"/>
  <c r="L37" i="22"/>
  <c r="K37" i="22"/>
  <c r="J37" i="22"/>
  <c r="I37" i="22"/>
  <c r="H37" i="22"/>
  <c r="G37" i="22"/>
  <c r="F37" i="22"/>
  <c r="E37" i="22"/>
  <c r="D37" i="22"/>
  <c r="C37" i="22"/>
  <c r="Z36" i="22"/>
  <c r="Y36" i="22"/>
  <c r="X36" i="22"/>
  <c r="W36" i="22"/>
  <c r="V36" i="22"/>
  <c r="U36" i="22"/>
  <c r="T36" i="22"/>
  <c r="S36" i="22"/>
  <c r="R36" i="22"/>
  <c r="Q36" i="22"/>
  <c r="P36" i="22"/>
  <c r="O36" i="22"/>
  <c r="N36" i="22"/>
  <c r="M36" i="22"/>
  <c r="L36" i="22"/>
  <c r="K36" i="22"/>
  <c r="J36" i="22"/>
  <c r="I36" i="22"/>
  <c r="H36" i="22"/>
  <c r="G36" i="22"/>
  <c r="F36" i="22"/>
  <c r="E36" i="22"/>
  <c r="D36" i="22"/>
  <c r="C36" i="22"/>
  <c r="Z35" i="22"/>
  <c r="Y35" i="22"/>
  <c r="X35" i="22"/>
  <c r="W35" i="22"/>
  <c r="V35" i="22"/>
  <c r="U35" i="22"/>
  <c r="T35" i="22"/>
  <c r="S35" i="22"/>
  <c r="R35" i="22"/>
  <c r="Q35" i="22"/>
  <c r="P35" i="22"/>
  <c r="O35" i="22"/>
  <c r="N35" i="22"/>
  <c r="M35" i="22"/>
  <c r="L35" i="22"/>
  <c r="K35" i="22"/>
  <c r="J35" i="22"/>
  <c r="I35" i="22"/>
  <c r="H35" i="22"/>
  <c r="G35" i="22"/>
  <c r="F35" i="22"/>
  <c r="E35" i="22"/>
  <c r="D35" i="22"/>
  <c r="C35" i="22"/>
  <c r="Z34" i="22"/>
  <c r="Y34" i="22"/>
  <c r="X34" i="22"/>
  <c r="W34" i="22"/>
  <c r="V34" i="22"/>
  <c r="U34" i="22"/>
  <c r="T34" i="22"/>
  <c r="S34" i="22"/>
  <c r="R34" i="22"/>
  <c r="Q34" i="22"/>
  <c r="P34" i="22"/>
  <c r="O34" i="22"/>
  <c r="N34" i="22"/>
  <c r="M34" i="22"/>
  <c r="L34" i="22"/>
  <c r="K34" i="22"/>
  <c r="J34" i="22"/>
  <c r="I34" i="22"/>
  <c r="H34" i="22"/>
  <c r="G34" i="22"/>
  <c r="F34" i="22"/>
  <c r="E34" i="22"/>
  <c r="D34" i="22"/>
  <c r="C34" i="22"/>
  <c r="Z33" i="22"/>
  <c r="Y33" i="22"/>
  <c r="X33" i="22"/>
  <c r="W33" i="22"/>
  <c r="V33" i="22"/>
  <c r="U33" i="22"/>
  <c r="T33" i="22"/>
  <c r="S33" i="22"/>
  <c r="R33" i="22"/>
  <c r="Q33" i="22"/>
  <c r="P33" i="22"/>
  <c r="O33" i="22"/>
  <c r="N33" i="22"/>
  <c r="M33" i="22"/>
  <c r="L33" i="22"/>
  <c r="K33" i="22"/>
  <c r="J33" i="22"/>
  <c r="I33" i="22"/>
  <c r="H33" i="22"/>
  <c r="G33" i="22"/>
  <c r="F33" i="22"/>
  <c r="E33" i="22"/>
  <c r="D33" i="22"/>
  <c r="C33" i="22"/>
  <c r="H6" i="28" l="1"/>
  <c r="F274" i="24"/>
  <c r="F6" i="28"/>
  <c r="D274" i="24"/>
  <c r="F7" i="28"/>
  <c r="D278" i="24"/>
  <c r="G133" i="24"/>
  <c r="I285" i="24" s="1"/>
  <c r="K9" i="28" s="1"/>
  <c r="E171" i="24"/>
  <c r="I277" i="24" s="1"/>
  <c r="K7" i="28" s="1"/>
  <c r="M230" i="24"/>
  <c r="F190" i="24"/>
  <c r="L281" i="24" s="1"/>
  <c r="N8" i="28" s="1"/>
  <c r="J230" i="24"/>
  <c r="P286" i="24" s="1"/>
  <c r="R24" i="28" s="1"/>
  <c r="G95" i="24"/>
  <c r="G285" i="24" s="1"/>
  <c r="I9" i="28" s="1"/>
  <c r="G114" i="24"/>
  <c r="H285" i="24" s="1"/>
  <c r="J9" i="28" s="1"/>
  <c r="G203" i="22"/>
  <c r="D171" i="24"/>
  <c r="I273" i="24" s="1"/>
  <c r="K6" i="28" s="1"/>
  <c r="L230" i="24"/>
  <c r="P298" i="24" s="1"/>
  <c r="R27" i="28" s="1"/>
  <c r="D51" i="24"/>
  <c r="D54" i="24"/>
  <c r="D57" i="24" s="1"/>
  <c r="E273" i="24" s="1"/>
  <c r="F51" i="24"/>
  <c r="F54" i="24"/>
  <c r="H51" i="24"/>
  <c r="H54" i="24"/>
  <c r="H57" i="24" s="1"/>
  <c r="E289" i="24" s="1"/>
  <c r="G10" i="28" s="1"/>
  <c r="L51" i="24"/>
  <c r="L54" i="24"/>
  <c r="N51" i="24"/>
  <c r="N54" i="24"/>
  <c r="N57" i="24" s="1"/>
  <c r="E313" i="24" s="1"/>
  <c r="G16" i="28" s="1"/>
  <c r="F76" i="24"/>
  <c r="F281" i="24" s="1"/>
  <c r="H76" i="24"/>
  <c r="F289" i="24" s="1"/>
  <c r="H10" i="28" s="1"/>
  <c r="J76" i="24"/>
  <c r="F297" i="24" s="1"/>
  <c r="H12" i="28" s="1"/>
  <c r="K285" i="24"/>
  <c r="M9" i="28" s="1"/>
  <c r="K301" i="24"/>
  <c r="M13" i="28" s="1"/>
  <c r="K172" i="24"/>
  <c r="G51" i="24"/>
  <c r="G54" i="24"/>
  <c r="G57" i="24" s="1"/>
  <c r="E285" i="24" s="1"/>
  <c r="K51" i="24"/>
  <c r="K54" i="24"/>
  <c r="K57" i="24" s="1"/>
  <c r="E301" i="24" s="1"/>
  <c r="G13" i="28" s="1"/>
  <c r="O51" i="24"/>
  <c r="O54" i="24"/>
  <c r="O57" i="24" s="1"/>
  <c r="E317" i="24" s="1"/>
  <c r="G17" i="28" s="1"/>
  <c r="E114" i="24"/>
  <c r="H277" i="24" s="1"/>
  <c r="J7" i="28" s="1"/>
  <c r="K297" i="24"/>
  <c r="M12" i="28" s="1"/>
  <c r="J172" i="24"/>
  <c r="K305" i="24"/>
  <c r="M14" i="28" s="1"/>
  <c r="L172" i="24"/>
  <c r="K313" i="24"/>
  <c r="M16" i="28" s="1"/>
  <c r="N172" i="24"/>
  <c r="J51" i="24"/>
  <c r="J54" i="24"/>
  <c r="J57" i="24" s="1"/>
  <c r="E297" i="24" s="1"/>
  <c r="G12" i="28" s="1"/>
  <c r="J114" i="24"/>
  <c r="H297" i="24" s="1"/>
  <c r="J12" i="28" s="1"/>
  <c r="N114" i="24"/>
  <c r="H313" i="24" s="1"/>
  <c r="J16" i="28" s="1"/>
  <c r="E51" i="24"/>
  <c r="E54" i="24"/>
  <c r="I51" i="24"/>
  <c r="I54" i="24"/>
  <c r="I57" i="24" s="1"/>
  <c r="E293" i="24" s="1"/>
  <c r="G11" i="28" s="1"/>
  <c r="M51" i="24"/>
  <c r="M54" i="24"/>
  <c r="E76" i="24"/>
  <c r="F277" i="24" s="1"/>
  <c r="F285" i="24"/>
  <c r="I76" i="24"/>
  <c r="F293" i="24" s="1"/>
  <c r="H11" i="28" s="1"/>
  <c r="D23" i="24"/>
  <c r="F23" i="24"/>
  <c r="F26" i="24"/>
  <c r="F29" i="24" s="1"/>
  <c r="D281" i="24" s="1"/>
  <c r="J23" i="24"/>
  <c r="J26" i="24"/>
  <c r="J29" i="24" s="1"/>
  <c r="L23" i="24"/>
  <c r="L26" i="24"/>
  <c r="L29" i="24" s="1"/>
  <c r="N23" i="24"/>
  <c r="N26" i="24"/>
  <c r="N29" i="24" s="1"/>
  <c r="E23" i="24"/>
  <c r="K23" i="24"/>
  <c r="K26" i="24"/>
  <c r="K29" i="24" s="1"/>
  <c r="D301" i="24" s="1"/>
  <c r="F13" i="28" s="1"/>
  <c r="M23" i="24"/>
  <c r="M26" i="24"/>
  <c r="M29" i="24" s="1"/>
  <c r="D309" i="24" s="1"/>
  <c r="F15" i="28" s="1"/>
  <c r="H23" i="24"/>
  <c r="H26" i="24"/>
  <c r="H29" i="24" s="1"/>
  <c r="G23" i="24"/>
  <c r="G26" i="24"/>
  <c r="G29" i="24" s="1"/>
  <c r="D285" i="24" s="1"/>
  <c r="I23" i="24"/>
  <c r="I26" i="24"/>
  <c r="I29" i="24" s="1"/>
  <c r="O23" i="24"/>
  <c r="O26" i="24"/>
  <c r="O29" i="24" s="1"/>
  <c r="S206" i="22"/>
  <c r="G208" i="22"/>
  <c r="W208" i="22"/>
  <c r="K206" i="22"/>
  <c r="G207" i="22"/>
  <c r="W207" i="22"/>
  <c r="S208" i="22"/>
  <c r="O209" i="22"/>
  <c r="K210" i="22"/>
  <c r="G211" i="22"/>
  <c r="W211" i="22"/>
  <c r="S212" i="22"/>
  <c r="O207" i="22"/>
  <c r="Q289" i="22"/>
  <c r="I291" i="22"/>
  <c r="U292" i="22"/>
  <c r="M294" i="22"/>
  <c r="M298" i="22" s="1"/>
  <c r="Y295" i="22"/>
  <c r="Q297" i="22"/>
  <c r="Q205" i="22"/>
  <c r="Y289" i="22"/>
  <c r="M290" i="22"/>
  <c r="Y291" i="22"/>
  <c r="M292" i="22"/>
  <c r="Y293" i="22"/>
  <c r="I295" i="22"/>
  <c r="M296" i="22"/>
  <c r="I297" i="22"/>
  <c r="I203" i="22"/>
  <c r="M204" i="22"/>
  <c r="I205" i="22"/>
  <c r="Q207" i="22"/>
  <c r="I209" i="22"/>
  <c r="O206" i="22"/>
  <c r="K207" i="22"/>
  <c r="K208" i="22"/>
  <c r="G209" i="22"/>
  <c r="S209" i="22"/>
  <c r="W209" i="22"/>
  <c r="O210" i="22"/>
  <c r="S210" i="22"/>
  <c r="K211" i="22"/>
  <c r="O211" i="22"/>
  <c r="G212" i="22"/>
  <c r="K212" i="22"/>
  <c r="W212" i="22"/>
  <c r="Y203" i="22"/>
  <c r="U211" i="22"/>
  <c r="I289" i="22"/>
  <c r="U290" i="22"/>
  <c r="Q291" i="22"/>
  <c r="I293" i="22"/>
  <c r="Q293" i="22"/>
  <c r="U294" i="22"/>
  <c r="Q295" i="22"/>
  <c r="U296" i="22"/>
  <c r="Y297" i="22"/>
  <c r="Q203" i="22"/>
  <c r="U204" i="22"/>
  <c r="Y205" i="22"/>
  <c r="J203" i="22"/>
  <c r="N203" i="22"/>
  <c r="R203" i="22"/>
  <c r="V203" i="22"/>
  <c r="J206" i="22"/>
  <c r="N206" i="22"/>
  <c r="Z206" i="22"/>
  <c r="J207" i="22"/>
  <c r="V207" i="22"/>
  <c r="Z207" i="22"/>
  <c r="R208" i="22"/>
  <c r="V208" i="22"/>
  <c r="N209" i="22"/>
  <c r="R209" i="22"/>
  <c r="J210" i="22"/>
  <c r="N210" i="22"/>
  <c r="Z210" i="22"/>
  <c r="J211" i="22"/>
  <c r="V211" i="22"/>
  <c r="Z211" i="22"/>
  <c r="R212" i="22"/>
  <c r="K139" i="24" s="1"/>
  <c r="K152" i="24" s="1"/>
  <c r="J301" i="24" s="1"/>
  <c r="L13" i="28" s="1"/>
  <c r="V212" i="22"/>
  <c r="M139" i="24" s="1"/>
  <c r="M152" i="24" s="1"/>
  <c r="J309" i="24" s="1"/>
  <c r="L15" i="28" s="1"/>
  <c r="Z203" i="22"/>
  <c r="J204" i="22"/>
  <c r="N204" i="22"/>
  <c r="R204" i="22"/>
  <c r="V204" i="22"/>
  <c r="Z204" i="22"/>
  <c r="J205" i="22"/>
  <c r="N205" i="22"/>
  <c r="R205" i="22"/>
  <c r="V205" i="22"/>
  <c r="Z205" i="22"/>
  <c r="R206" i="22"/>
  <c r="V206" i="22"/>
  <c r="N207" i="22"/>
  <c r="R207" i="22"/>
  <c r="J208" i="22"/>
  <c r="N208" i="22"/>
  <c r="Z208" i="22"/>
  <c r="J209" i="22"/>
  <c r="V209" i="22"/>
  <c r="Z209" i="22"/>
  <c r="R210" i="22"/>
  <c r="V210" i="22"/>
  <c r="N211" i="22"/>
  <c r="R211" i="22"/>
  <c r="J212" i="22"/>
  <c r="G139" i="24" s="1"/>
  <c r="N212" i="22"/>
  <c r="I139" i="24" s="1"/>
  <c r="I152" i="24" s="1"/>
  <c r="J293" i="24" s="1"/>
  <c r="L11" i="28" s="1"/>
  <c r="Z212" i="22"/>
  <c r="O139" i="24" s="1"/>
  <c r="O152" i="24" s="1"/>
  <c r="J317" i="24" s="1"/>
  <c r="L17" i="28" s="1"/>
  <c r="H289" i="22"/>
  <c r="L289" i="22"/>
  <c r="L298" i="22" s="1"/>
  <c r="H196" i="24" s="1"/>
  <c r="H209" i="24" s="1"/>
  <c r="M289" i="24" s="1"/>
  <c r="O10" i="28" s="1"/>
  <c r="P289" i="22"/>
  <c r="T289" i="22"/>
  <c r="X289" i="22"/>
  <c r="H290" i="22"/>
  <c r="L290" i="22"/>
  <c r="P290" i="22"/>
  <c r="T290" i="22"/>
  <c r="X290" i="22"/>
  <c r="H291" i="22"/>
  <c r="L291" i="22"/>
  <c r="P291" i="22"/>
  <c r="T291" i="22"/>
  <c r="X291" i="22"/>
  <c r="H292" i="22"/>
  <c r="L292" i="22"/>
  <c r="P292" i="22"/>
  <c r="T292" i="22"/>
  <c r="X292" i="22"/>
  <c r="H293" i="22"/>
  <c r="L293" i="22"/>
  <c r="P293" i="22"/>
  <c r="T293" i="22"/>
  <c r="X293" i="22"/>
  <c r="H294" i="22"/>
  <c r="L294" i="22"/>
  <c r="P294" i="22"/>
  <c r="P298" i="22" s="1"/>
  <c r="T294" i="22"/>
  <c r="T298" i="22" s="1"/>
  <c r="X294" i="22"/>
  <c r="X298" i="22" s="1"/>
  <c r="H295" i="22"/>
  <c r="L295" i="22"/>
  <c r="P295" i="22"/>
  <c r="T295" i="22"/>
  <c r="X295" i="22"/>
  <c r="H296" i="22"/>
  <c r="L296" i="22"/>
  <c r="P296" i="22"/>
  <c r="T296" i="22"/>
  <c r="X296" i="22"/>
  <c r="H297" i="22"/>
  <c r="L297" i="22"/>
  <c r="P297" i="22"/>
  <c r="T297" i="22"/>
  <c r="X297" i="22"/>
  <c r="J196" i="24"/>
  <c r="J209" i="24" s="1"/>
  <c r="M297" i="24" s="1"/>
  <c r="O12" i="28" s="1"/>
  <c r="L196" i="24"/>
  <c r="L209" i="24" s="1"/>
  <c r="M305" i="24" s="1"/>
  <c r="O14" i="28" s="1"/>
  <c r="N196" i="24"/>
  <c r="N209" i="24" s="1"/>
  <c r="M313" i="24" s="1"/>
  <c r="O16" i="28" s="1"/>
  <c r="K203" i="22"/>
  <c r="O203" i="22"/>
  <c r="S203" i="22"/>
  <c r="W203" i="22"/>
  <c r="G204" i="22"/>
  <c r="K204" i="22"/>
  <c r="O204" i="22"/>
  <c r="S204" i="22"/>
  <c r="W204" i="22"/>
  <c r="G205" i="22"/>
  <c r="K205" i="22"/>
  <c r="O205" i="22"/>
  <c r="S205" i="22"/>
  <c r="W205" i="22"/>
  <c r="G206" i="22"/>
  <c r="W206" i="22"/>
  <c r="S207" i="22"/>
  <c r="O208" i="22"/>
  <c r="K209" i="22"/>
  <c r="G210" i="22"/>
  <c r="W210" i="22"/>
  <c r="S211" i="22"/>
  <c r="O212" i="22"/>
  <c r="M289" i="22"/>
  <c r="U289" i="22"/>
  <c r="I290" i="22"/>
  <c r="Q290" i="22"/>
  <c r="Y290" i="22"/>
  <c r="M291" i="22"/>
  <c r="U291" i="22"/>
  <c r="I292" i="22"/>
  <c r="Q292" i="22"/>
  <c r="Y292" i="22"/>
  <c r="M293" i="22"/>
  <c r="U293" i="22"/>
  <c r="I294" i="22"/>
  <c r="I298" i="22" s="1"/>
  <c r="Q294" i="22"/>
  <c r="Y294" i="22"/>
  <c r="Y298" i="22" s="1"/>
  <c r="M295" i="22"/>
  <c r="U295" i="22"/>
  <c r="I296" i="22"/>
  <c r="Q296" i="22"/>
  <c r="Y296" i="22"/>
  <c r="M297" i="22"/>
  <c r="U297" i="22"/>
  <c r="J289" i="22"/>
  <c r="N289" i="22"/>
  <c r="R289" i="22"/>
  <c r="R298" i="22" s="1"/>
  <c r="K196" i="24" s="1"/>
  <c r="K209" i="24" s="1"/>
  <c r="M301" i="24" s="1"/>
  <c r="O13" i="28" s="1"/>
  <c r="V289" i="22"/>
  <c r="V298" i="22" s="1"/>
  <c r="M196" i="24" s="1"/>
  <c r="M209" i="24" s="1"/>
  <c r="M309" i="24" s="1"/>
  <c r="O15" i="28" s="1"/>
  <c r="Z289" i="22"/>
  <c r="J290" i="22"/>
  <c r="N290" i="22"/>
  <c r="R290" i="22"/>
  <c r="V290" i="22"/>
  <c r="Z290" i="22"/>
  <c r="J291" i="22"/>
  <c r="N291" i="22"/>
  <c r="R291" i="22"/>
  <c r="V291" i="22"/>
  <c r="Z291" i="22"/>
  <c r="J292" i="22"/>
  <c r="N292" i="22"/>
  <c r="R292" i="22"/>
  <c r="V292" i="22"/>
  <c r="Z292" i="22"/>
  <c r="J293" i="22"/>
  <c r="N293" i="22"/>
  <c r="R293" i="22"/>
  <c r="V293" i="22"/>
  <c r="Z293" i="22"/>
  <c r="J294" i="22"/>
  <c r="J298" i="22" s="1"/>
  <c r="G196" i="24" s="1"/>
  <c r="G209" i="24" s="1"/>
  <c r="M285" i="24" s="1"/>
  <c r="O9" i="28" s="1"/>
  <c r="N294" i="22"/>
  <c r="N298" i="22" s="1"/>
  <c r="I196" i="24" s="1"/>
  <c r="I209" i="24" s="1"/>
  <c r="M293" i="24" s="1"/>
  <c r="O11" i="28" s="1"/>
  <c r="R294" i="22"/>
  <c r="V294" i="22"/>
  <c r="Z294" i="22"/>
  <c r="Z298" i="22" s="1"/>
  <c r="J295" i="22"/>
  <c r="N295" i="22"/>
  <c r="R295" i="22"/>
  <c r="V295" i="22"/>
  <c r="Z295" i="22"/>
  <c r="J296" i="22"/>
  <c r="N296" i="22"/>
  <c r="R296" i="22"/>
  <c r="V296" i="22"/>
  <c r="Z296" i="22"/>
  <c r="J297" i="22"/>
  <c r="N297" i="22"/>
  <c r="R297" i="22"/>
  <c r="V297" i="22"/>
  <c r="Z297" i="22"/>
  <c r="O196" i="24"/>
  <c r="O209" i="24" s="1"/>
  <c r="M317" i="24" s="1"/>
  <c r="O17" i="28" s="1"/>
  <c r="M203" i="22"/>
  <c r="U203" i="22"/>
  <c r="I204" i="22"/>
  <c r="Q204" i="22"/>
  <c r="Y204" i="22"/>
  <c r="M205" i="22"/>
  <c r="U205" i="22"/>
  <c r="I206" i="22"/>
  <c r="U206" i="22"/>
  <c r="Y206" i="22"/>
  <c r="U207" i="22"/>
  <c r="M208" i="22"/>
  <c r="Q208" i="22"/>
  <c r="M209" i="22"/>
  <c r="I210" i="22"/>
  <c r="Y210" i="22"/>
  <c r="Q212" i="22"/>
  <c r="G289" i="22"/>
  <c r="O289" i="22"/>
  <c r="W289" i="22"/>
  <c r="K290" i="22"/>
  <c r="S290" i="22"/>
  <c r="G291" i="22"/>
  <c r="O291" i="22"/>
  <c r="W291" i="22"/>
  <c r="K292" i="22"/>
  <c r="S292" i="22"/>
  <c r="G293" i="22"/>
  <c r="O293" i="22"/>
  <c r="W293" i="22"/>
  <c r="K294" i="22"/>
  <c r="S294" i="22"/>
  <c r="S298" i="22" s="1"/>
  <c r="G295" i="22"/>
  <c r="O295" i="22"/>
  <c r="W295" i="22"/>
  <c r="K296" i="22"/>
  <c r="S296" i="22"/>
  <c r="G297" i="22"/>
  <c r="O297" i="22"/>
  <c r="W297" i="22"/>
  <c r="L203" i="22"/>
  <c r="T203" i="22"/>
  <c r="H204" i="22"/>
  <c r="P204" i="22"/>
  <c r="X204" i="22"/>
  <c r="L205" i="22"/>
  <c r="T205" i="22"/>
  <c r="H206" i="22"/>
  <c r="P206" i="22"/>
  <c r="X206" i="22"/>
  <c r="L207" i="22"/>
  <c r="T207" i="22"/>
  <c r="H208" i="22"/>
  <c r="L208" i="22"/>
  <c r="T208" i="22"/>
  <c r="H209" i="22"/>
  <c r="L209" i="22"/>
  <c r="T209" i="22"/>
  <c r="X209" i="22"/>
  <c r="H210" i="22"/>
  <c r="L210" i="22"/>
  <c r="P210" i="22"/>
  <c r="T210" i="22"/>
  <c r="X210" i="22"/>
  <c r="H211" i="22"/>
  <c r="L211" i="22"/>
  <c r="P211" i="22"/>
  <c r="T211" i="22"/>
  <c r="X211" i="22"/>
  <c r="L212" i="22"/>
  <c r="H139" i="24" s="1"/>
  <c r="H152" i="24" s="1"/>
  <c r="J289" i="24" s="1"/>
  <c r="L10" i="28" s="1"/>
  <c r="H203" i="22"/>
  <c r="P203" i="22"/>
  <c r="X203" i="22"/>
  <c r="L204" i="22"/>
  <c r="T204" i="22"/>
  <c r="H205" i="22"/>
  <c r="P205" i="22"/>
  <c r="X205" i="22"/>
  <c r="L206" i="22"/>
  <c r="T206" i="22"/>
  <c r="H207" i="22"/>
  <c r="P207" i="22"/>
  <c r="X207" i="22"/>
  <c r="P208" i="22"/>
  <c r="X208" i="22"/>
  <c r="P209" i="22"/>
  <c r="H212" i="22"/>
  <c r="F139" i="24" s="1"/>
  <c r="F152" i="24" s="1"/>
  <c r="J281" i="24" s="1"/>
  <c r="L8" i="28" s="1"/>
  <c r="P212" i="22"/>
  <c r="J139" i="24" s="1"/>
  <c r="J152" i="24" s="1"/>
  <c r="J297" i="24" s="1"/>
  <c r="L12" i="28" s="1"/>
  <c r="T212" i="22"/>
  <c r="L139" i="24" s="1"/>
  <c r="L152" i="24" s="1"/>
  <c r="J305" i="24" s="1"/>
  <c r="L14" i="28" s="1"/>
  <c r="X212" i="22"/>
  <c r="N139" i="24" s="1"/>
  <c r="N152" i="24" s="1"/>
  <c r="J313" i="24" s="1"/>
  <c r="L16" i="28" s="1"/>
  <c r="M206" i="22"/>
  <c r="I207" i="22"/>
  <c r="Y207" i="22"/>
  <c r="U208" i="22"/>
  <c r="Q209" i="22"/>
  <c r="Y209" i="22"/>
  <c r="Q210" i="22"/>
  <c r="I211" i="22"/>
  <c r="Q211" i="22"/>
  <c r="I212" i="22"/>
  <c r="U212" i="22"/>
  <c r="K289" i="22"/>
  <c r="S289" i="22"/>
  <c r="O290" i="22"/>
  <c r="W290" i="22"/>
  <c r="S291" i="22"/>
  <c r="G292" i="22"/>
  <c r="O292" i="22"/>
  <c r="W292" i="22"/>
  <c r="K293" i="22"/>
  <c r="S293" i="22"/>
  <c r="G294" i="22"/>
  <c r="O294" i="22"/>
  <c r="O298" i="22" s="1"/>
  <c r="W294" i="22"/>
  <c r="W298" i="22" s="1"/>
  <c r="K295" i="22"/>
  <c r="S295" i="22"/>
  <c r="G296" i="22"/>
  <c r="O296" i="22"/>
  <c r="W296" i="22"/>
  <c r="K297" i="22"/>
  <c r="S297" i="22"/>
  <c r="Q206" i="22"/>
  <c r="M207" i="22"/>
  <c r="I208" i="22"/>
  <c r="Y208" i="22"/>
  <c r="U209" i="22"/>
  <c r="M210" i="22"/>
  <c r="U210" i="22"/>
  <c r="M211" i="22"/>
  <c r="Y211" i="22"/>
  <c r="M212" i="22"/>
  <c r="Y212" i="22"/>
  <c r="G290" i="22"/>
  <c r="K291" i="22"/>
  <c r="H9" i="28" l="1"/>
  <c r="F287" i="24"/>
  <c r="F8" i="28"/>
  <c r="D282" i="24"/>
  <c r="F9" i="28"/>
  <c r="D287" i="24"/>
  <c r="H7" i="28"/>
  <c r="F278" i="24"/>
  <c r="G9" i="28"/>
  <c r="E287" i="24"/>
  <c r="G6" i="28"/>
  <c r="E274" i="24"/>
  <c r="H8" i="28"/>
  <c r="F282" i="24"/>
  <c r="Q298" i="22"/>
  <c r="G298" i="22"/>
  <c r="H298" i="22"/>
  <c r="F196" i="24" s="1"/>
  <c r="G152" i="24"/>
  <c r="J285" i="24" s="1"/>
  <c r="L9" i="28" s="1"/>
  <c r="K298" i="22"/>
  <c r="U298" i="22"/>
  <c r="B14" i="23"/>
  <c r="F209" i="24" l="1"/>
  <c r="M281" i="24" s="1"/>
  <c r="O8" i="28" s="1"/>
  <c r="H265" i="20"/>
  <c r="J265" i="20"/>
  <c r="L265" i="20"/>
  <c r="N265" i="20"/>
  <c r="P265" i="20"/>
  <c r="R265" i="20"/>
  <c r="T265" i="20"/>
  <c r="V265" i="20"/>
  <c r="X265" i="20"/>
  <c r="Z265" i="20"/>
  <c r="Z240" i="20"/>
  <c r="X240" i="20"/>
  <c r="V240" i="20"/>
  <c r="T240" i="20"/>
  <c r="R240" i="20"/>
  <c r="P240" i="20"/>
  <c r="N240" i="20"/>
  <c r="L240" i="20"/>
  <c r="J240" i="20"/>
  <c r="H240" i="20"/>
  <c r="H178" i="20"/>
  <c r="J178" i="20"/>
  <c r="L178" i="20"/>
  <c r="N178" i="20"/>
  <c r="P178" i="20"/>
  <c r="R178" i="20"/>
  <c r="T178" i="20"/>
  <c r="V178" i="20"/>
  <c r="X178" i="20"/>
  <c r="Z178" i="20"/>
  <c r="Y151" i="20"/>
  <c r="W151" i="20"/>
  <c r="U151" i="20"/>
  <c r="S151" i="20"/>
  <c r="Q151" i="20"/>
  <c r="O151" i="20"/>
  <c r="M151" i="20"/>
  <c r="K151" i="20"/>
  <c r="I151" i="20"/>
  <c r="G151" i="20"/>
  <c r="H151" i="20" s="1"/>
  <c r="G124" i="22"/>
  <c r="I124" i="22"/>
  <c r="K124" i="22"/>
  <c r="M124" i="22"/>
  <c r="O124" i="22"/>
  <c r="Q124" i="22"/>
  <c r="S124" i="22"/>
  <c r="U124" i="22"/>
  <c r="W124" i="22"/>
  <c r="Y124" i="22"/>
  <c r="Z97" i="22"/>
  <c r="X97" i="22"/>
  <c r="V97" i="22"/>
  <c r="T97" i="22"/>
  <c r="R97" i="22"/>
  <c r="P97" i="22"/>
  <c r="N97" i="22"/>
  <c r="L97" i="22"/>
  <c r="J97" i="22"/>
  <c r="H97" i="22"/>
  <c r="F97" i="22"/>
  <c r="D97" i="22"/>
  <c r="Z265" i="22"/>
  <c r="X265" i="22"/>
  <c r="V265" i="22"/>
  <c r="T265" i="22"/>
  <c r="R265" i="22"/>
  <c r="P265" i="22"/>
  <c r="N265" i="22"/>
  <c r="L265" i="22"/>
  <c r="J265" i="22"/>
  <c r="H265" i="22"/>
  <c r="Z125" i="22"/>
  <c r="X125" i="22"/>
  <c r="V125" i="22"/>
  <c r="T125" i="22"/>
  <c r="R125" i="22"/>
  <c r="P125" i="22"/>
  <c r="N125" i="22"/>
  <c r="L125" i="22"/>
  <c r="J125" i="22"/>
  <c r="H125" i="22"/>
  <c r="F125" i="22"/>
  <c r="D125" i="22"/>
  <c r="F124" i="22"/>
  <c r="D124" i="22"/>
  <c r="Z20" i="22"/>
  <c r="X20" i="22"/>
  <c r="V20" i="22"/>
  <c r="T20" i="22"/>
  <c r="R20" i="22"/>
  <c r="P20" i="22"/>
  <c r="N20" i="22"/>
  <c r="L20" i="22"/>
  <c r="J20" i="22"/>
  <c r="H20" i="22"/>
  <c r="F20" i="22"/>
  <c r="D20" i="22"/>
  <c r="Z95" i="22"/>
  <c r="X95" i="22"/>
  <c r="V95" i="22"/>
  <c r="T95" i="22"/>
  <c r="R95" i="22"/>
  <c r="P95" i="22"/>
  <c r="N95" i="22"/>
  <c r="L95" i="22"/>
  <c r="J95" i="22"/>
  <c r="H95" i="22"/>
  <c r="F95" i="22"/>
  <c r="D95" i="22"/>
  <c r="Z45" i="22"/>
  <c r="X45" i="22"/>
  <c r="V45" i="22"/>
  <c r="T45" i="22"/>
  <c r="R45" i="22"/>
  <c r="P45" i="22"/>
  <c r="N45" i="22"/>
  <c r="L45" i="22"/>
  <c r="J45" i="22"/>
  <c r="H45" i="22"/>
  <c r="F45" i="22"/>
  <c r="D45" i="22"/>
  <c r="Z70" i="22"/>
  <c r="X70" i="22"/>
  <c r="V70" i="22"/>
  <c r="T70" i="22"/>
  <c r="R70" i="22"/>
  <c r="P70" i="22"/>
  <c r="N70" i="22"/>
  <c r="L70" i="22"/>
  <c r="J70" i="22"/>
  <c r="H70" i="22"/>
  <c r="F70" i="22"/>
  <c r="D70" i="22"/>
  <c r="Z18" i="22"/>
  <c r="X18" i="22"/>
  <c r="V18" i="22"/>
  <c r="T18" i="22"/>
  <c r="R18" i="22"/>
  <c r="P18" i="22"/>
  <c r="N18" i="22"/>
  <c r="L18" i="22"/>
  <c r="J18" i="22"/>
  <c r="H18" i="22"/>
  <c r="F18" i="22"/>
  <c r="D18" i="22"/>
  <c r="D95" i="20" l="1"/>
  <c r="F95" i="20"/>
  <c r="H95" i="20"/>
  <c r="J95" i="20"/>
  <c r="L95" i="20"/>
  <c r="N95" i="20"/>
  <c r="P95" i="20"/>
  <c r="R95" i="20"/>
  <c r="T95" i="20"/>
  <c r="V95" i="20"/>
  <c r="X95" i="20"/>
  <c r="Z95" i="20"/>
  <c r="D125" i="20"/>
  <c r="F125" i="20"/>
  <c r="H125" i="20"/>
  <c r="J125" i="20"/>
  <c r="L125" i="20"/>
  <c r="N125" i="20"/>
  <c r="P125" i="20"/>
  <c r="R125" i="20"/>
  <c r="T125" i="20"/>
  <c r="V125" i="20"/>
  <c r="X125" i="20"/>
  <c r="Z125" i="20"/>
  <c r="D97" i="20"/>
  <c r="F97" i="20"/>
  <c r="H97" i="20"/>
  <c r="J99" i="20"/>
  <c r="L99" i="20"/>
  <c r="N99" i="20"/>
  <c r="P99" i="20"/>
  <c r="R99" i="20"/>
  <c r="T99" i="20"/>
  <c r="V99" i="20"/>
  <c r="X99" i="20"/>
  <c r="Z99" i="20"/>
  <c r="G179" i="20"/>
  <c r="I179" i="20"/>
  <c r="K179" i="20"/>
  <c r="M179" i="20"/>
  <c r="O179" i="20"/>
  <c r="Q179" i="20"/>
  <c r="S179" i="20"/>
  <c r="U179" i="20"/>
  <c r="W179" i="20"/>
  <c r="Y179" i="20"/>
  <c r="F215" i="21"/>
  <c r="H215" i="21"/>
  <c r="J215" i="21"/>
  <c r="L215" i="21"/>
  <c r="N215" i="21"/>
  <c r="P215" i="21"/>
  <c r="R215" i="21"/>
  <c r="T215" i="21"/>
  <c r="V215" i="21"/>
  <c r="X215" i="21"/>
  <c r="Z215" i="21"/>
  <c r="D215" i="21"/>
  <c r="P313" i="24"/>
  <c r="R16" i="28" s="1"/>
  <c r="I214" i="24"/>
  <c r="M214" i="24"/>
  <c r="H214" i="24"/>
  <c r="L214" i="24"/>
  <c r="P293" i="24"/>
  <c r="R11" i="28" s="1"/>
  <c r="G214" i="24"/>
  <c r="J214" i="24"/>
  <c r="F214" i="24"/>
  <c r="Z287" i="20"/>
  <c r="Y287" i="20"/>
  <c r="X287" i="20"/>
  <c r="W287" i="20"/>
  <c r="V287" i="20"/>
  <c r="U287" i="20"/>
  <c r="T287" i="20"/>
  <c r="S287" i="20"/>
  <c r="R287" i="20"/>
  <c r="Q287" i="20"/>
  <c r="P287" i="20"/>
  <c r="O287" i="20"/>
  <c r="N287" i="20"/>
  <c r="M287" i="20"/>
  <c r="L287" i="20"/>
  <c r="K287" i="20"/>
  <c r="J287" i="20"/>
  <c r="I287" i="20"/>
  <c r="H287" i="20"/>
  <c r="G287" i="20"/>
  <c r="Z286" i="20"/>
  <c r="Y286" i="20"/>
  <c r="X286" i="20"/>
  <c r="W286" i="20"/>
  <c r="V286" i="20"/>
  <c r="U286" i="20"/>
  <c r="T286" i="20"/>
  <c r="S286" i="20"/>
  <c r="R286" i="20"/>
  <c r="Q286" i="20"/>
  <c r="P286" i="20"/>
  <c r="O286" i="20"/>
  <c r="N286" i="20"/>
  <c r="M286" i="20"/>
  <c r="L286" i="20"/>
  <c r="K286" i="20"/>
  <c r="J286" i="20"/>
  <c r="I286" i="20"/>
  <c r="H286" i="20"/>
  <c r="G286" i="20"/>
  <c r="Z285" i="20"/>
  <c r="Y285" i="20"/>
  <c r="X285" i="20"/>
  <c r="W285" i="20"/>
  <c r="V285" i="20"/>
  <c r="U285" i="20"/>
  <c r="T285" i="20"/>
  <c r="S285" i="20"/>
  <c r="R285" i="20"/>
  <c r="Q285" i="20"/>
  <c r="P285" i="20"/>
  <c r="O285" i="20"/>
  <c r="N285" i="20"/>
  <c r="M285" i="20"/>
  <c r="L285" i="20"/>
  <c r="K285" i="20"/>
  <c r="J285" i="20"/>
  <c r="I285" i="20"/>
  <c r="H285" i="20"/>
  <c r="G285" i="20"/>
  <c r="Z284" i="20"/>
  <c r="Y284" i="20"/>
  <c r="X284" i="20"/>
  <c r="W284" i="20"/>
  <c r="V284" i="20"/>
  <c r="U284" i="20"/>
  <c r="T284" i="20"/>
  <c r="S284" i="20"/>
  <c r="R284" i="20"/>
  <c r="Q284" i="20"/>
  <c r="P284" i="20"/>
  <c r="O284" i="20"/>
  <c r="N284" i="20"/>
  <c r="M284" i="20"/>
  <c r="L284" i="20"/>
  <c r="K284" i="20"/>
  <c r="J284" i="20"/>
  <c r="I284" i="20"/>
  <c r="H284" i="20"/>
  <c r="G284" i="20"/>
  <c r="Z283" i="20"/>
  <c r="Y283" i="20"/>
  <c r="X283" i="20"/>
  <c r="W283" i="20"/>
  <c r="V283" i="20"/>
  <c r="U283" i="20"/>
  <c r="T283" i="20"/>
  <c r="S283" i="20"/>
  <c r="R283" i="20"/>
  <c r="Q283" i="20"/>
  <c r="P283" i="20"/>
  <c r="O283" i="20"/>
  <c r="N283" i="20"/>
  <c r="M283" i="20"/>
  <c r="L283" i="20"/>
  <c r="K283" i="20"/>
  <c r="J283" i="20"/>
  <c r="I283" i="20"/>
  <c r="H283" i="20"/>
  <c r="G283" i="20"/>
  <c r="Z282" i="20"/>
  <c r="Y282" i="20"/>
  <c r="X282" i="20"/>
  <c r="W282" i="20"/>
  <c r="V282" i="20"/>
  <c r="U282" i="20"/>
  <c r="T282" i="20"/>
  <c r="S282" i="20"/>
  <c r="R282" i="20"/>
  <c r="Q282" i="20"/>
  <c r="P282" i="20"/>
  <c r="O282" i="20"/>
  <c r="N282" i="20"/>
  <c r="M282" i="20"/>
  <c r="L282" i="20"/>
  <c r="K282" i="20"/>
  <c r="J282" i="20"/>
  <c r="I282" i="20"/>
  <c r="H282" i="20"/>
  <c r="G282" i="20"/>
  <c r="Z281" i="20"/>
  <c r="Y281" i="20"/>
  <c r="X281" i="20"/>
  <c r="W281" i="20"/>
  <c r="V281" i="20"/>
  <c r="U281" i="20"/>
  <c r="T281" i="20"/>
  <c r="S281" i="20"/>
  <c r="R281" i="20"/>
  <c r="Q281" i="20"/>
  <c r="P281" i="20"/>
  <c r="O281" i="20"/>
  <c r="N281" i="20"/>
  <c r="M281" i="20"/>
  <c r="L281" i="20"/>
  <c r="K281" i="20"/>
  <c r="J281" i="20"/>
  <c r="I281" i="20"/>
  <c r="H281" i="20"/>
  <c r="G281" i="20"/>
  <c r="Z280" i="20"/>
  <c r="Y280" i="20"/>
  <c r="X280" i="20"/>
  <c r="W280" i="20"/>
  <c r="V280" i="20"/>
  <c r="U280" i="20"/>
  <c r="T280" i="20"/>
  <c r="S280" i="20"/>
  <c r="R280" i="20"/>
  <c r="Q280" i="20"/>
  <c r="P280" i="20"/>
  <c r="O280" i="20"/>
  <c r="N280" i="20"/>
  <c r="M280" i="20"/>
  <c r="L280" i="20"/>
  <c r="K280" i="20"/>
  <c r="J280" i="20"/>
  <c r="I280" i="20"/>
  <c r="H280" i="20"/>
  <c r="G280" i="20"/>
  <c r="Z279" i="20"/>
  <c r="Y279" i="20"/>
  <c r="X279" i="20"/>
  <c r="W279" i="20"/>
  <c r="V279" i="20"/>
  <c r="U279" i="20"/>
  <c r="T279" i="20"/>
  <c r="S279" i="20"/>
  <c r="R279" i="20"/>
  <c r="Q279" i="20"/>
  <c r="P279" i="20"/>
  <c r="O279" i="20"/>
  <c r="N279" i="20"/>
  <c r="M279" i="20"/>
  <c r="L279" i="20"/>
  <c r="K279" i="20"/>
  <c r="J279" i="20"/>
  <c r="I279" i="20"/>
  <c r="H279" i="20"/>
  <c r="G279" i="20"/>
  <c r="Z278" i="20"/>
  <c r="Y278" i="20"/>
  <c r="X278" i="20"/>
  <c r="W278" i="20"/>
  <c r="V278" i="20"/>
  <c r="U278" i="20"/>
  <c r="T278" i="20"/>
  <c r="S278" i="20"/>
  <c r="R278" i="20"/>
  <c r="Q278" i="20"/>
  <c r="P278" i="20"/>
  <c r="O278" i="20"/>
  <c r="N278" i="20"/>
  <c r="M278" i="20"/>
  <c r="L278" i="20"/>
  <c r="K278" i="20"/>
  <c r="J278" i="20"/>
  <c r="I278" i="20"/>
  <c r="H278" i="20"/>
  <c r="G278" i="20"/>
  <c r="O175" i="24"/>
  <c r="M175" i="24"/>
  <c r="K175" i="24"/>
  <c r="K192" i="24" s="1"/>
  <c r="L303" i="24" s="1"/>
  <c r="N43" i="28" s="1"/>
  <c r="J175" i="24"/>
  <c r="J192" i="24" s="1"/>
  <c r="L299" i="24" s="1"/>
  <c r="N42" i="28" s="1"/>
  <c r="H175" i="24"/>
  <c r="H192" i="24" s="1"/>
  <c r="L291" i="24" s="1"/>
  <c r="N40" i="28" s="1"/>
  <c r="G175" i="24"/>
  <c r="G192" i="24" s="1"/>
  <c r="L287" i="24" s="1"/>
  <c r="N39" i="28" s="1"/>
  <c r="F175" i="24"/>
  <c r="Z261" i="20"/>
  <c r="Y261" i="20"/>
  <c r="X261" i="20"/>
  <c r="W261" i="20"/>
  <c r="V261" i="20"/>
  <c r="U261" i="20"/>
  <c r="T261" i="20"/>
  <c r="S261" i="20"/>
  <c r="R261" i="20"/>
  <c r="Q261" i="20"/>
  <c r="P261" i="20"/>
  <c r="O261" i="20"/>
  <c r="N261" i="20"/>
  <c r="M261" i="20"/>
  <c r="L261" i="20"/>
  <c r="K261" i="20"/>
  <c r="J261" i="20"/>
  <c r="I261" i="20"/>
  <c r="H261" i="20"/>
  <c r="G261" i="20"/>
  <c r="Z260" i="20"/>
  <c r="Y260" i="20"/>
  <c r="X260" i="20"/>
  <c r="W260" i="20"/>
  <c r="V260" i="20"/>
  <c r="U260" i="20"/>
  <c r="T260" i="20"/>
  <c r="S260" i="20"/>
  <c r="R260" i="20"/>
  <c r="Q260" i="20"/>
  <c r="P260" i="20"/>
  <c r="O260" i="20"/>
  <c r="N260" i="20"/>
  <c r="M260" i="20"/>
  <c r="L260" i="20"/>
  <c r="K260" i="20"/>
  <c r="J260" i="20"/>
  <c r="I260" i="20"/>
  <c r="H260" i="20"/>
  <c r="G260" i="20"/>
  <c r="Z259" i="20"/>
  <c r="Y259" i="20"/>
  <c r="X259" i="20"/>
  <c r="W259" i="20"/>
  <c r="V259" i="20"/>
  <c r="U259" i="20"/>
  <c r="T259" i="20"/>
  <c r="S259" i="20"/>
  <c r="R259" i="20"/>
  <c r="Q259" i="20"/>
  <c r="P259" i="20"/>
  <c r="O259" i="20"/>
  <c r="N259" i="20"/>
  <c r="M259" i="20"/>
  <c r="L259" i="20"/>
  <c r="K259" i="20"/>
  <c r="J259" i="20"/>
  <c r="I259" i="20"/>
  <c r="H259" i="20"/>
  <c r="G259" i="20"/>
  <c r="Z258" i="20"/>
  <c r="Z262" i="20" s="1"/>
  <c r="Y258" i="20"/>
  <c r="Y262" i="20" s="1"/>
  <c r="X258" i="20"/>
  <c r="X262" i="20" s="1"/>
  <c r="N175" i="24" s="1"/>
  <c r="W258" i="20"/>
  <c r="W262" i="20" s="1"/>
  <c r="V258" i="20"/>
  <c r="U258" i="20"/>
  <c r="T258" i="20"/>
  <c r="T262" i="20" s="1"/>
  <c r="L175" i="24" s="1"/>
  <c r="L192" i="24" s="1"/>
  <c r="L307" i="24" s="1"/>
  <c r="N44" i="28" s="1"/>
  <c r="S258" i="20"/>
  <c r="S262" i="20" s="1"/>
  <c r="R258" i="20"/>
  <c r="Q258" i="20"/>
  <c r="P258" i="20"/>
  <c r="P262" i="20" s="1"/>
  <c r="O258" i="20"/>
  <c r="O262" i="20" s="1"/>
  <c r="N258" i="20"/>
  <c r="N262" i="20" s="1"/>
  <c r="I175" i="24" s="1"/>
  <c r="I192" i="24" s="1"/>
  <c r="L295" i="24" s="1"/>
  <c r="N41" i="28" s="1"/>
  <c r="M258" i="20"/>
  <c r="M262" i="20" s="1"/>
  <c r="L258" i="20"/>
  <c r="K258" i="20"/>
  <c r="J258" i="20"/>
  <c r="J262" i="20" s="1"/>
  <c r="I258" i="20"/>
  <c r="I262" i="20" s="1"/>
  <c r="H258" i="20"/>
  <c r="G258" i="20"/>
  <c r="Z257" i="20"/>
  <c r="Y257" i="20"/>
  <c r="X257" i="20"/>
  <c r="W257" i="20"/>
  <c r="V257" i="20"/>
  <c r="U257" i="20"/>
  <c r="T257" i="20"/>
  <c r="S257" i="20"/>
  <c r="R257" i="20"/>
  <c r="Q257" i="20"/>
  <c r="P257" i="20"/>
  <c r="O257" i="20"/>
  <c r="N257" i="20"/>
  <c r="M257" i="20"/>
  <c r="L257" i="20"/>
  <c r="K257" i="20"/>
  <c r="J257" i="20"/>
  <c r="I257" i="20"/>
  <c r="H257" i="20"/>
  <c r="G257" i="20"/>
  <c r="Z256" i="20"/>
  <c r="Y256" i="20"/>
  <c r="X256" i="20"/>
  <c r="W256" i="20"/>
  <c r="V256" i="20"/>
  <c r="U256" i="20"/>
  <c r="T256" i="20"/>
  <c r="S256" i="20"/>
  <c r="R256" i="20"/>
  <c r="Q256" i="20"/>
  <c r="P256" i="20"/>
  <c r="O256" i="20"/>
  <c r="N256" i="20"/>
  <c r="M256" i="20"/>
  <c r="L256" i="20"/>
  <c r="K256" i="20"/>
  <c r="J256" i="20"/>
  <c r="I256" i="20"/>
  <c r="H256" i="20"/>
  <c r="G256" i="20"/>
  <c r="Z255" i="20"/>
  <c r="Y255" i="20"/>
  <c r="X255" i="20"/>
  <c r="W255" i="20"/>
  <c r="V255" i="20"/>
  <c r="U255" i="20"/>
  <c r="T255" i="20"/>
  <c r="S255" i="20"/>
  <c r="R255" i="20"/>
  <c r="Q255" i="20"/>
  <c r="P255" i="20"/>
  <c r="O255" i="20"/>
  <c r="N255" i="20"/>
  <c r="M255" i="20"/>
  <c r="L255" i="20"/>
  <c r="K255" i="20"/>
  <c r="J255" i="20"/>
  <c r="I255" i="20"/>
  <c r="H255" i="20"/>
  <c r="G255" i="20"/>
  <c r="Z254" i="20"/>
  <c r="Y254" i="20"/>
  <c r="X254" i="20"/>
  <c r="W254" i="20"/>
  <c r="V254" i="20"/>
  <c r="U254" i="20"/>
  <c r="T254" i="20"/>
  <c r="S254" i="20"/>
  <c r="R254" i="20"/>
  <c r="Q254" i="20"/>
  <c r="P254" i="20"/>
  <c r="O254" i="20"/>
  <c r="N254" i="20"/>
  <c r="M254" i="20"/>
  <c r="L254" i="20"/>
  <c r="K254" i="20"/>
  <c r="J254" i="20"/>
  <c r="I254" i="20"/>
  <c r="H254" i="20"/>
  <c r="G254" i="20"/>
  <c r="Z253" i="20"/>
  <c r="Y253" i="20"/>
  <c r="X253" i="20"/>
  <c r="W253" i="20"/>
  <c r="V253" i="20"/>
  <c r="U253" i="20"/>
  <c r="T253" i="20"/>
  <c r="S253" i="20"/>
  <c r="R253" i="20"/>
  <c r="Q253" i="20"/>
  <c r="P253" i="20"/>
  <c r="O253" i="20"/>
  <c r="N253" i="20"/>
  <c r="M253" i="20"/>
  <c r="L253" i="20"/>
  <c r="K253" i="20"/>
  <c r="J253" i="20"/>
  <c r="I253" i="20"/>
  <c r="H253" i="20"/>
  <c r="G253" i="20"/>
  <c r="Z201" i="20"/>
  <c r="Y201" i="20"/>
  <c r="X201" i="20"/>
  <c r="W201" i="20"/>
  <c r="V201" i="20"/>
  <c r="U201" i="20"/>
  <c r="T201" i="20"/>
  <c r="S201" i="20"/>
  <c r="R201" i="20"/>
  <c r="Q201" i="20"/>
  <c r="P201" i="20"/>
  <c r="O201" i="20"/>
  <c r="N201" i="20"/>
  <c r="M201" i="20"/>
  <c r="L201" i="20"/>
  <c r="K201" i="20"/>
  <c r="J201" i="20"/>
  <c r="I201" i="20"/>
  <c r="H201" i="20"/>
  <c r="G201" i="20"/>
  <c r="Z200" i="20"/>
  <c r="Y200" i="20"/>
  <c r="X200" i="20"/>
  <c r="W200" i="20"/>
  <c r="V200" i="20"/>
  <c r="U200" i="20"/>
  <c r="T200" i="20"/>
  <c r="S200" i="20"/>
  <c r="R200" i="20"/>
  <c r="Q200" i="20"/>
  <c r="P200" i="20"/>
  <c r="O200" i="20"/>
  <c r="N200" i="20"/>
  <c r="M200" i="20"/>
  <c r="L200" i="20"/>
  <c r="K200" i="20"/>
  <c r="J200" i="20"/>
  <c r="I200" i="20"/>
  <c r="H200" i="20"/>
  <c r="G200" i="20"/>
  <c r="Z199" i="20"/>
  <c r="Y199" i="20"/>
  <c r="X199" i="20"/>
  <c r="W199" i="20"/>
  <c r="V199" i="20"/>
  <c r="U199" i="20"/>
  <c r="T199" i="20"/>
  <c r="S199" i="20"/>
  <c r="R199" i="20"/>
  <c r="Q199" i="20"/>
  <c r="P199" i="20"/>
  <c r="O199" i="20"/>
  <c r="N199" i="20"/>
  <c r="M199" i="20"/>
  <c r="L199" i="20"/>
  <c r="K199" i="20"/>
  <c r="J199" i="20"/>
  <c r="I199" i="20"/>
  <c r="H199" i="20"/>
  <c r="G199" i="20"/>
  <c r="Z198" i="20"/>
  <c r="Y198" i="20"/>
  <c r="X198" i="20"/>
  <c r="W198" i="20"/>
  <c r="V198" i="20"/>
  <c r="U198" i="20"/>
  <c r="T198" i="20"/>
  <c r="S198" i="20"/>
  <c r="R198" i="20"/>
  <c r="Q198" i="20"/>
  <c r="P198" i="20"/>
  <c r="O198" i="20"/>
  <c r="N198" i="20"/>
  <c r="M198" i="20"/>
  <c r="L198" i="20"/>
  <c r="K198" i="20"/>
  <c r="J198" i="20"/>
  <c r="I198" i="20"/>
  <c r="H198" i="20"/>
  <c r="G198" i="20"/>
  <c r="Z197" i="20"/>
  <c r="Y197" i="20"/>
  <c r="X197" i="20"/>
  <c r="W197" i="20"/>
  <c r="V197" i="20"/>
  <c r="U197" i="20"/>
  <c r="T197" i="20"/>
  <c r="S197" i="20"/>
  <c r="R197" i="20"/>
  <c r="Q197" i="20"/>
  <c r="P197" i="20"/>
  <c r="O197" i="20"/>
  <c r="N197" i="20"/>
  <c r="M197" i="20"/>
  <c r="L197" i="20"/>
  <c r="K197" i="20"/>
  <c r="J197" i="20"/>
  <c r="I197" i="20"/>
  <c r="H197" i="20"/>
  <c r="G197" i="20"/>
  <c r="Z196" i="20"/>
  <c r="Y196" i="20"/>
  <c r="X196" i="20"/>
  <c r="W196" i="20"/>
  <c r="V196" i="20"/>
  <c r="U196" i="20"/>
  <c r="T196" i="20"/>
  <c r="S196" i="20"/>
  <c r="R196" i="20"/>
  <c r="Q196" i="20"/>
  <c r="P196" i="20"/>
  <c r="O196" i="20"/>
  <c r="N196" i="20"/>
  <c r="M196" i="20"/>
  <c r="L196" i="20"/>
  <c r="K196" i="20"/>
  <c r="J196" i="20"/>
  <c r="I196" i="20"/>
  <c r="H196" i="20"/>
  <c r="G196" i="20"/>
  <c r="Z195" i="20"/>
  <c r="Y195" i="20"/>
  <c r="X195" i="20"/>
  <c r="W195" i="20"/>
  <c r="V195" i="20"/>
  <c r="U195" i="20"/>
  <c r="T195" i="20"/>
  <c r="S195" i="20"/>
  <c r="R195" i="20"/>
  <c r="Q195" i="20"/>
  <c r="P195" i="20"/>
  <c r="O195" i="20"/>
  <c r="N195" i="20"/>
  <c r="M195" i="20"/>
  <c r="L195" i="20"/>
  <c r="K195" i="20"/>
  <c r="J195" i="20"/>
  <c r="I195" i="20"/>
  <c r="H195" i="20"/>
  <c r="G195" i="20"/>
  <c r="Z194" i="20"/>
  <c r="Y194" i="20"/>
  <c r="X194" i="20"/>
  <c r="W194" i="20"/>
  <c r="V194" i="20"/>
  <c r="U194" i="20"/>
  <c r="T194" i="20"/>
  <c r="S194" i="20"/>
  <c r="R194" i="20"/>
  <c r="Q194" i="20"/>
  <c r="P194" i="20"/>
  <c r="O194" i="20"/>
  <c r="N194" i="20"/>
  <c r="M194" i="20"/>
  <c r="L194" i="20"/>
  <c r="K194" i="20"/>
  <c r="J194" i="20"/>
  <c r="I194" i="20"/>
  <c r="H194" i="20"/>
  <c r="G194" i="20"/>
  <c r="Z193" i="20"/>
  <c r="Y193" i="20"/>
  <c r="X193" i="20"/>
  <c r="W193" i="20"/>
  <c r="V193" i="20"/>
  <c r="U193" i="20"/>
  <c r="T193" i="20"/>
  <c r="S193" i="20"/>
  <c r="R193" i="20"/>
  <c r="Q193" i="20"/>
  <c r="P193" i="20"/>
  <c r="O193" i="20"/>
  <c r="N193" i="20"/>
  <c r="M193" i="20"/>
  <c r="L193" i="20"/>
  <c r="K193" i="20"/>
  <c r="J193" i="20"/>
  <c r="I193" i="20"/>
  <c r="H193" i="20"/>
  <c r="G193" i="20"/>
  <c r="Z192" i="20"/>
  <c r="Y192" i="20"/>
  <c r="X192" i="20"/>
  <c r="W192" i="20"/>
  <c r="V192" i="20"/>
  <c r="U192" i="20"/>
  <c r="T192" i="20"/>
  <c r="S192" i="20"/>
  <c r="R192" i="20"/>
  <c r="Q192" i="20"/>
  <c r="P192" i="20"/>
  <c r="O192" i="20"/>
  <c r="N192" i="20"/>
  <c r="M192" i="20"/>
  <c r="L192" i="20"/>
  <c r="K192" i="20"/>
  <c r="J192" i="20"/>
  <c r="I192" i="20"/>
  <c r="H192" i="20"/>
  <c r="G192" i="20"/>
  <c r="R176" i="20"/>
  <c r="P176" i="20"/>
  <c r="Z173" i="20"/>
  <c r="O118" i="24" s="1"/>
  <c r="O135" i="24" s="1"/>
  <c r="I319" i="24" s="1"/>
  <c r="K47" i="28" s="1"/>
  <c r="Y173" i="20"/>
  <c r="X173" i="20"/>
  <c r="N118" i="24" s="1"/>
  <c r="N135" i="24" s="1"/>
  <c r="I315" i="24" s="1"/>
  <c r="K46" i="28" s="1"/>
  <c r="W173" i="20"/>
  <c r="V173" i="20"/>
  <c r="M118" i="24" s="1"/>
  <c r="M135" i="24" s="1"/>
  <c r="I311" i="24" s="1"/>
  <c r="K45" i="28" s="1"/>
  <c r="U173" i="20"/>
  <c r="T173" i="20"/>
  <c r="L118" i="24" s="1"/>
  <c r="L135" i="24" s="1"/>
  <c r="I307" i="24" s="1"/>
  <c r="K44" i="28" s="1"/>
  <c r="S173" i="20"/>
  <c r="R173" i="20"/>
  <c r="K118" i="24" s="1"/>
  <c r="K135" i="24" s="1"/>
  <c r="I303" i="24" s="1"/>
  <c r="K43" i="28" s="1"/>
  <c r="Q173" i="20"/>
  <c r="P173" i="20"/>
  <c r="J118" i="24" s="1"/>
  <c r="J135" i="24" s="1"/>
  <c r="I299" i="24" s="1"/>
  <c r="K42" i="28" s="1"/>
  <c r="O173" i="20"/>
  <c r="N173" i="20"/>
  <c r="I118" i="24" s="1"/>
  <c r="I135" i="24" s="1"/>
  <c r="I295" i="24" s="1"/>
  <c r="K41" i="28" s="1"/>
  <c r="M173" i="20"/>
  <c r="L173" i="20"/>
  <c r="H118" i="24" s="1"/>
  <c r="H135" i="24" s="1"/>
  <c r="I291" i="24" s="1"/>
  <c r="K40" i="28" s="1"/>
  <c r="K173" i="20"/>
  <c r="J173" i="20"/>
  <c r="G118" i="24" s="1"/>
  <c r="I173" i="20"/>
  <c r="H173" i="20"/>
  <c r="F118" i="24" s="1"/>
  <c r="F135" i="24" s="1"/>
  <c r="I283" i="24" s="1"/>
  <c r="K38" i="28" s="1"/>
  <c r="G173" i="20"/>
  <c r="Z172" i="20"/>
  <c r="Y172" i="20"/>
  <c r="X172" i="20"/>
  <c r="W172" i="20"/>
  <c r="V172" i="20"/>
  <c r="U172" i="20"/>
  <c r="T172" i="20"/>
  <c r="S172" i="20"/>
  <c r="R172" i="20"/>
  <c r="Q172" i="20"/>
  <c r="P172" i="20"/>
  <c r="O172" i="20"/>
  <c r="N172" i="20"/>
  <c r="M172" i="20"/>
  <c r="L172" i="20"/>
  <c r="K172" i="20"/>
  <c r="J172" i="20"/>
  <c r="I172" i="20"/>
  <c r="H172" i="20"/>
  <c r="G172" i="20"/>
  <c r="Z171" i="20"/>
  <c r="Y171" i="20"/>
  <c r="X171" i="20"/>
  <c r="W171" i="20"/>
  <c r="V171" i="20"/>
  <c r="U171" i="20"/>
  <c r="T171" i="20"/>
  <c r="S171" i="20"/>
  <c r="R171" i="20"/>
  <c r="Q171" i="20"/>
  <c r="P171" i="20"/>
  <c r="O171" i="20"/>
  <c r="N171" i="20"/>
  <c r="M171" i="20"/>
  <c r="L171" i="20"/>
  <c r="K171" i="20"/>
  <c r="J171" i="20"/>
  <c r="I171" i="20"/>
  <c r="H171" i="20"/>
  <c r="G171" i="20"/>
  <c r="Z170" i="20"/>
  <c r="Y170" i="20"/>
  <c r="X170" i="20"/>
  <c r="W170" i="20"/>
  <c r="V170" i="20"/>
  <c r="U170" i="20"/>
  <c r="T170" i="20"/>
  <c r="S170" i="20"/>
  <c r="R170" i="20"/>
  <c r="Q170" i="20"/>
  <c r="P170" i="20"/>
  <c r="O170" i="20"/>
  <c r="N170" i="20"/>
  <c r="M170" i="20"/>
  <c r="L170" i="20"/>
  <c r="K170" i="20"/>
  <c r="J170" i="20"/>
  <c r="I170" i="20"/>
  <c r="H170" i="20"/>
  <c r="G170" i="20"/>
  <c r="Z169" i="20"/>
  <c r="Y169" i="20"/>
  <c r="X169" i="20"/>
  <c r="W169" i="20"/>
  <c r="V169" i="20"/>
  <c r="U169" i="20"/>
  <c r="T169" i="20"/>
  <c r="S169" i="20"/>
  <c r="R169" i="20"/>
  <c r="Q169" i="20"/>
  <c r="P169" i="20"/>
  <c r="O169" i="20"/>
  <c r="N169" i="20"/>
  <c r="M169" i="20"/>
  <c r="L169" i="20"/>
  <c r="K169" i="20"/>
  <c r="J169" i="20"/>
  <c r="I169" i="20"/>
  <c r="H169" i="20"/>
  <c r="G169" i="20"/>
  <c r="Z168" i="20"/>
  <c r="Y168" i="20"/>
  <c r="X168" i="20"/>
  <c r="W168" i="20"/>
  <c r="V168" i="20"/>
  <c r="U168" i="20"/>
  <c r="T168" i="20"/>
  <c r="S168" i="20"/>
  <c r="R168" i="20"/>
  <c r="Q168" i="20"/>
  <c r="P168" i="20"/>
  <c r="O168" i="20"/>
  <c r="N168" i="20"/>
  <c r="M168" i="20"/>
  <c r="L168" i="20"/>
  <c r="K168" i="20"/>
  <c r="J168" i="20"/>
  <c r="I168" i="20"/>
  <c r="H168" i="20"/>
  <c r="G168" i="20"/>
  <c r="Z167" i="20"/>
  <c r="Y167" i="20"/>
  <c r="X167" i="20"/>
  <c r="W167" i="20"/>
  <c r="V167" i="20"/>
  <c r="U167" i="20"/>
  <c r="T167" i="20"/>
  <c r="S167" i="20"/>
  <c r="R167" i="20"/>
  <c r="Q167" i="20"/>
  <c r="P167" i="20"/>
  <c r="O167" i="20"/>
  <c r="N167" i="20"/>
  <c r="M167" i="20"/>
  <c r="L167" i="20"/>
  <c r="K167" i="20"/>
  <c r="J167" i="20"/>
  <c r="I167" i="20"/>
  <c r="H167" i="20"/>
  <c r="G167" i="20"/>
  <c r="Z166" i="20"/>
  <c r="Y166" i="20"/>
  <c r="X166" i="20"/>
  <c r="W166" i="20"/>
  <c r="V166" i="20"/>
  <c r="U166" i="20"/>
  <c r="T166" i="20"/>
  <c r="S166" i="20"/>
  <c r="R166" i="20"/>
  <c r="Q166" i="20"/>
  <c r="P166" i="20"/>
  <c r="O166" i="20"/>
  <c r="N166" i="20"/>
  <c r="M166" i="20"/>
  <c r="L166" i="20"/>
  <c r="K166" i="20"/>
  <c r="J166" i="20"/>
  <c r="I166" i="20"/>
  <c r="H166" i="20"/>
  <c r="G166" i="20"/>
  <c r="Z165" i="20"/>
  <c r="Y165" i="20"/>
  <c r="X165" i="20"/>
  <c r="W165" i="20"/>
  <c r="V165" i="20"/>
  <c r="U165" i="20"/>
  <c r="T165" i="20"/>
  <c r="S165" i="20"/>
  <c r="R165" i="20"/>
  <c r="Q165" i="20"/>
  <c r="P165" i="20"/>
  <c r="O165" i="20"/>
  <c r="N165" i="20"/>
  <c r="M165" i="20"/>
  <c r="L165" i="20"/>
  <c r="K165" i="20"/>
  <c r="J165" i="20"/>
  <c r="I165" i="20"/>
  <c r="H165" i="20"/>
  <c r="G165" i="20"/>
  <c r="Z164" i="20"/>
  <c r="Y164" i="20"/>
  <c r="X164" i="20"/>
  <c r="W164" i="20"/>
  <c r="V164" i="20"/>
  <c r="U164" i="20"/>
  <c r="T164" i="20"/>
  <c r="S164" i="20"/>
  <c r="R164" i="20"/>
  <c r="Q164" i="20"/>
  <c r="P164" i="20"/>
  <c r="O164" i="20"/>
  <c r="N164" i="20"/>
  <c r="M164" i="20"/>
  <c r="L164" i="20"/>
  <c r="K164" i="20"/>
  <c r="J164" i="20"/>
  <c r="I164" i="20"/>
  <c r="H164" i="20"/>
  <c r="G164" i="20"/>
  <c r="Z151" i="20"/>
  <c r="X151" i="20"/>
  <c r="V151" i="20"/>
  <c r="T151" i="20"/>
  <c r="R151" i="20"/>
  <c r="P151" i="20"/>
  <c r="N151" i="20"/>
  <c r="L151" i="20"/>
  <c r="J151" i="20"/>
  <c r="Z148" i="20"/>
  <c r="O99" i="24" s="1"/>
  <c r="O116" i="24" s="1"/>
  <c r="H319" i="24" s="1"/>
  <c r="J47" i="28" s="1"/>
  <c r="Y148" i="20"/>
  <c r="X148" i="20"/>
  <c r="N99" i="24" s="1"/>
  <c r="N116" i="24" s="1"/>
  <c r="H315" i="24" s="1"/>
  <c r="J46" i="28" s="1"/>
  <c r="W148" i="20"/>
  <c r="V148" i="20"/>
  <c r="M99" i="24" s="1"/>
  <c r="M116" i="24" s="1"/>
  <c r="H311" i="24" s="1"/>
  <c r="J45" i="28" s="1"/>
  <c r="U148" i="20"/>
  <c r="T148" i="20"/>
  <c r="L99" i="24" s="1"/>
  <c r="L116" i="24" s="1"/>
  <c r="H307" i="24" s="1"/>
  <c r="J44" i="28" s="1"/>
  <c r="S148" i="20"/>
  <c r="R148" i="20"/>
  <c r="K99" i="24" s="1"/>
  <c r="K116" i="24" s="1"/>
  <c r="H303" i="24" s="1"/>
  <c r="J43" i="28" s="1"/>
  <c r="Q148" i="20"/>
  <c r="P148" i="20"/>
  <c r="J99" i="24" s="1"/>
  <c r="O148" i="20"/>
  <c r="N148" i="20"/>
  <c r="I99" i="24" s="1"/>
  <c r="I116" i="24" s="1"/>
  <c r="H295" i="24" s="1"/>
  <c r="J41" i="28" s="1"/>
  <c r="M148" i="20"/>
  <c r="L148" i="20"/>
  <c r="H99" i="24" s="1"/>
  <c r="H116" i="24" s="1"/>
  <c r="H291" i="24" s="1"/>
  <c r="J40" i="28" s="1"/>
  <c r="K148" i="20"/>
  <c r="J148" i="20"/>
  <c r="G99" i="24" s="1"/>
  <c r="I148" i="20"/>
  <c r="H148" i="20"/>
  <c r="F99" i="24" s="1"/>
  <c r="F116" i="24" s="1"/>
  <c r="H283" i="24" s="1"/>
  <c r="J38" i="28" s="1"/>
  <c r="G148" i="20"/>
  <c r="F148" i="20"/>
  <c r="E148" i="20"/>
  <c r="D148" i="20"/>
  <c r="D101" i="24" s="1"/>
  <c r="D114" i="24" s="1"/>
  <c r="H273" i="24" s="1"/>
  <c r="J6" i="28" s="1"/>
  <c r="C148" i="20"/>
  <c r="Z147" i="20"/>
  <c r="Y147" i="20"/>
  <c r="X147" i="20"/>
  <c r="W147" i="20"/>
  <c r="V147" i="20"/>
  <c r="U147" i="20"/>
  <c r="T147" i="20"/>
  <c r="S147" i="20"/>
  <c r="R147" i="20"/>
  <c r="Q147" i="20"/>
  <c r="P147" i="20"/>
  <c r="O147" i="20"/>
  <c r="N147" i="20"/>
  <c r="M147" i="20"/>
  <c r="L147" i="20"/>
  <c r="K147" i="20"/>
  <c r="J147" i="20"/>
  <c r="I147" i="20"/>
  <c r="H147" i="20"/>
  <c r="G147" i="20"/>
  <c r="F147" i="20"/>
  <c r="E147" i="20"/>
  <c r="D147" i="20"/>
  <c r="C147" i="20"/>
  <c r="Z146" i="20"/>
  <c r="Y146" i="20"/>
  <c r="X146" i="20"/>
  <c r="W146" i="20"/>
  <c r="V146" i="20"/>
  <c r="U146" i="20"/>
  <c r="T146" i="20"/>
  <c r="S146" i="20"/>
  <c r="R146" i="20"/>
  <c r="Q146" i="20"/>
  <c r="P146" i="20"/>
  <c r="O146" i="20"/>
  <c r="N146" i="20"/>
  <c r="M146" i="20"/>
  <c r="L146" i="20"/>
  <c r="K146" i="20"/>
  <c r="J146" i="20"/>
  <c r="I146" i="20"/>
  <c r="H146" i="20"/>
  <c r="G146" i="20"/>
  <c r="F146" i="20"/>
  <c r="E146" i="20"/>
  <c r="D146" i="20"/>
  <c r="C146" i="20"/>
  <c r="Z145" i="20"/>
  <c r="Y145" i="20"/>
  <c r="X145" i="20"/>
  <c r="W145" i="20"/>
  <c r="V145" i="20"/>
  <c r="U145" i="20"/>
  <c r="T145" i="20"/>
  <c r="S145" i="20"/>
  <c r="R145" i="20"/>
  <c r="Q145" i="20"/>
  <c r="P145" i="20"/>
  <c r="O145" i="20"/>
  <c r="N145" i="20"/>
  <c r="M145" i="20"/>
  <c r="L145" i="20"/>
  <c r="K145" i="20"/>
  <c r="J145" i="20"/>
  <c r="I145" i="20"/>
  <c r="H145" i="20"/>
  <c r="G145" i="20"/>
  <c r="F145" i="20"/>
  <c r="E145" i="20"/>
  <c r="D145" i="20"/>
  <c r="C145" i="20"/>
  <c r="Z144" i="20"/>
  <c r="Y144" i="20"/>
  <c r="X144" i="20"/>
  <c r="W144" i="20"/>
  <c r="V144" i="20"/>
  <c r="U144" i="20"/>
  <c r="T144" i="20"/>
  <c r="S144" i="20"/>
  <c r="R144" i="20"/>
  <c r="Q144" i="20"/>
  <c r="P144" i="20"/>
  <c r="O144" i="20"/>
  <c r="N144" i="20"/>
  <c r="M144" i="20"/>
  <c r="L144" i="20"/>
  <c r="K144" i="20"/>
  <c r="J144" i="20"/>
  <c r="I144" i="20"/>
  <c r="H144" i="20"/>
  <c r="G144" i="20"/>
  <c r="F144" i="20"/>
  <c r="E144" i="20"/>
  <c r="D144" i="20"/>
  <c r="C144" i="20"/>
  <c r="Z143" i="20"/>
  <c r="Y143" i="20"/>
  <c r="X143" i="20"/>
  <c r="W143" i="20"/>
  <c r="V143" i="20"/>
  <c r="U143" i="20"/>
  <c r="T143" i="20"/>
  <c r="S143" i="20"/>
  <c r="R143" i="20"/>
  <c r="Q143" i="20"/>
  <c r="P143" i="20"/>
  <c r="O143" i="20"/>
  <c r="N143" i="20"/>
  <c r="M143" i="20"/>
  <c r="L143" i="20"/>
  <c r="K143" i="20"/>
  <c r="J143" i="20"/>
  <c r="I143" i="20"/>
  <c r="H143" i="20"/>
  <c r="G143" i="20"/>
  <c r="F143" i="20"/>
  <c r="E143" i="20"/>
  <c r="D143" i="20"/>
  <c r="C143" i="20"/>
  <c r="Z142" i="20"/>
  <c r="Y142" i="20"/>
  <c r="X142" i="20"/>
  <c r="W142" i="20"/>
  <c r="V142" i="20"/>
  <c r="U142" i="20"/>
  <c r="T142" i="20"/>
  <c r="S142" i="20"/>
  <c r="R142" i="20"/>
  <c r="Q142" i="20"/>
  <c r="P142" i="20"/>
  <c r="O142" i="20"/>
  <c r="N142" i="20"/>
  <c r="M142" i="20"/>
  <c r="L142" i="20"/>
  <c r="K142" i="20"/>
  <c r="J142" i="20"/>
  <c r="I142" i="20"/>
  <c r="H142" i="20"/>
  <c r="G142" i="20"/>
  <c r="F142" i="20"/>
  <c r="E142" i="20"/>
  <c r="D142" i="20"/>
  <c r="C142" i="20"/>
  <c r="Z141" i="20"/>
  <c r="Y141" i="20"/>
  <c r="X141" i="20"/>
  <c r="W141" i="20"/>
  <c r="V141" i="20"/>
  <c r="U141" i="20"/>
  <c r="T141" i="20"/>
  <c r="S141" i="20"/>
  <c r="R141" i="20"/>
  <c r="Q141" i="20"/>
  <c r="P141" i="20"/>
  <c r="O141" i="20"/>
  <c r="N141" i="20"/>
  <c r="M141" i="20"/>
  <c r="L141" i="20"/>
  <c r="K141" i="20"/>
  <c r="J141" i="20"/>
  <c r="I141" i="20"/>
  <c r="H141" i="20"/>
  <c r="G141" i="20"/>
  <c r="F141" i="20"/>
  <c r="E141" i="20"/>
  <c r="D141" i="20"/>
  <c r="C141" i="20"/>
  <c r="Z140" i="20"/>
  <c r="Y140" i="20"/>
  <c r="X140" i="20"/>
  <c r="W140" i="20"/>
  <c r="V140" i="20"/>
  <c r="U140" i="20"/>
  <c r="T140" i="20"/>
  <c r="S140" i="20"/>
  <c r="R140" i="20"/>
  <c r="Q140" i="20"/>
  <c r="P140" i="20"/>
  <c r="O140" i="20"/>
  <c r="N140" i="20"/>
  <c r="M140" i="20"/>
  <c r="L140" i="20"/>
  <c r="K140" i="20"/>
  <c r="J140" i="20"/>
  <c r="I140" i="20"/>
  <c r="H140" i="20"/>
  <c r="G140" i="20"/>
  <c r="F140" i="20"/>
  <c r="E140" i="20"/>
  <c r="D140" i="20"/>
  <c r="C140" i="20"/>
  <c r="Z139" i="20"/>
  <c r="Y139" i="20"/>
  <c r="X139" i="20"/>
  <c r="W139" i="20"/>
  <c r="V139" i="20"/>
  <c r="U139" i="20"/>
  <c r="T139" i="20"/>
  <c r="S139" i="20"/>
  <c r="R139" i="20"/>
  <c r="Q139" i="20"/>
  <c r="P139" i="20"/>
  <c r="O139" i="20"/>
  <c r="N139" i="20"/>
  <c r="M139" i="20"/>
  <c r="L139" i="20"/>
  <c r="K139" i="20"/>
  <c r="J139" i="20"/>
  <c r="I139" i="20"/>
  <c r="H139" i="20"/>
  <c r="G139" i="20"/>
  <c r="F139" i="20"/>
  <c r="E139" i="20"/>
  <c r="D139" i="20"/>
  <c r="C139" i="20"/>
  <c r="Z121" i="20"/>
  <c r="O80" i="24" s="1"/>
  <c r="O97" i="24" s="1"/>
  <c r="G319" i="24" s="1"/>
  <c r="I47" i="28" s="1"/>
  <c r="Y121" i="20"/>
  <c r="X121" i="20"/>
  <c r="N80" i="24" s="1"/>
  <c r="N97" i="24" s="1"/>
  <c r="G315" i="24" s="1"/>
  <c r="I46" i="28" s="1"/>
  <c r="W121" i="20"/>
  <c r="V121" i="20"/>
  <c r="M80" i="24" s="1"/>
  <c r="M97" i="24" s="1"/>
  <c r="G311" i="24" s="1"/>
  <c r="I45" i="28" s="1"/>
  <c r="U121" i="20"/>
  <c r="T121" i="20"/>
  <c r="L80" i="24" s="1"/>
  <c r="L97" i="24" s="1"/>
  <c r="G307" i="24" s="1"/>
  <c r="I44" i="28" s="1"/>
  <c r="S121" i="20"/>
  <c r="R121" i="20"/>
  <c r="K80" i="24" s="1"/>
  <c r="K97" i="24" s="1"/>
  <c r="G303" i="24" s="1"/>
  <c r="I43" i="28" s="1"/>
  <c r="Q121" i="20"/>
  <c r="P121" i="20"/>
  <c r="J80" i="24" s="1"/>
  <c r="J97" i="24" s="1"/>
  <c r="G299" i="24" s="1"/>
  <c r="I42" i="28" s="1"/>
  <c r="O121" i="20"/>
  <c r="N121" i="20"/>
  <c r="I80" i="24" s="1"/>
  <c r="I97" i="24" s="1"/>
  <c r="G295" i="24" s="1"/>
  <c r="I41" i="28" s="1"/>
  <c r="M121" i="20"/>
  <c r="L121" i="20"/>
  <c r="H80" i="24" s="1"/>
  <c r="H97" i="24" s="1"/>
  <c r="G291" i="24" s="1"/>
  <c r="I40" i="28" s="1"/>
  <c r="K121" i="20"/>
  <c r="J121" i="20"/>
  <c r="G80" i="24" s="1"/>
  <c r="G97" i="24" s="1"/>
  <c r="G287" i="24" s="1"/>
  <c r="I39" i="28" s="1"/>
  <c r="I121" i="20"/>
  <c r="H121" i="20"/>
  <c r="F80" i="24" s="1"/>
  <c r="F97" i="24" s="1"/>
  <c r="G283" i="24" s="1"/>
  <c r="I38" i="28" s="1"/>
  <c r="G121" i="20"/>
  <c r="F121" i="20"/>
  <c r="E80" i="24" s="1"/>
  <c r="E97" i="24" s="1"/>
  <c r="G279" i="24" s="1"/>
  <c r="I37" i="28" s="1"/>
  <c r="E121" i="20"/>
  <c r="D121" i="20"/>
  <c r="D80" i="24" s="1"/>
  <c r="D97" i="24" s="1"/>
  <c r="G275" i="24" s="1"/>
  <c r="I36" i="28" s="1"/>
  <c r="C121" i="20"/>
  <c r="Z120" i="20"/>
  <c r="Y120" i="20"/>
  <c r="X120" i="20"/>
  <c r="W120" i="20"/>
  <c r="V120" i="20"/>
  <c r="U120" i="20"/>
  <c r="T120" i="20"/>
  <c r="S120" i="20"/>
  <c r="R120" i="20"/>
  <c r="Q120" i="20"/>
  <c r="P120" i="20"/>
  <c r="O120" i="20"/>
  <c r="N120" i="20"/>
  <c r="M120" i="20"/>
  <c r="L120" i="20"/>
  <c r="K120" i="20"/>
  <c r="J120" i="20"/>
  <c r="I120" i="20"/>
  <c r="H120" i="20"/>
  <c r="G120" i="20"/>
  <c r="F120" i="20"/>
  <c r="E120" i="20"/>
  <c r="D120" i="20"/>
  <c r="C120" i="20"/>
  <c r="Z119" i="20"/>
  <c r="Y119" i="20"/>
  <c r="X119" i="20"/>
  <c r="W119" i="20"/>
  <c r="V119" i="20"/>
  <c r="U119" i="20"/>
  <c r="T119" i="20"/>
  <c r="S119" i="20"/>
  <c r="R119" i="20"/>
  <c r="Q119" i="20"/>
  <c r="P119" i="20"/>
  <c r="O119" i="20"/>
  <c r="N119" i="20"/>
  <c r="M119" i="20"/>
  <c r="L119" i="20"/>
  <c r="K119" i="20"/>
  <c r="J119" i="20"/>
  <c r="I119" i="20"/>
  <c r="H119" i="20"/>
  <c r="G119" i="20"/>
  <c r="F119" i="20"/>
  <c r="E119" i="20"/>
  <c r="D119" i="20"/>
  <c r="C119" i="20"/>
  <c r="Z118" i="20"/>
  <c r="Y118" i="20"/>
  <c r="X118" i="20"/>
  <c r="W118" i="20"/>
  <c r="V118" i="20"/>
  <c r="U118" i="20"/>
  <c r="T118" i="20"/>
  <c r="S118" i="20"/>
  <c r="R118" i="20"/>
  <c r="Q118" i="20"/>
  <c r="P118" i="20"/>
  <c r="O118" i="20"/>
  <c r="N118" i="20"/>
  <c r="M118" i="20"/>
  <c r="L118" i="20"/>
  <c r="K118" i="20"/>
  <c r="J118" i="20"/>
  <c r="I118" i="20"/>
  <c r="H118" i="20"/>
  <c r="G118" i="20"/>
  <c r="F118" i="20"/>
  <c r="E118" i="20"/>
  <c r="D118" i="20"/>
  <c r="C118" i="20"/>
  <c r="Z117" i="20"/>
  <c r="Y117" i="20"/>
  <c r="X117" i="20"/>
  <c r="W117" i="20"/>
  <c r="V117" i="20"/>
  <c r="U117" i="20"/>
  <c r="T117" i="20"/>
  <c r="S117" i="20"/>
  <c r="R117" i="20"/>
  <c r="Q117" i="20"/>
  <c r="P117" i="20"/>
  <c r="O117" i="20"/>
  <c r="N117" i="20"/>
  <c r="M117" i="20"/>
  <c r="L117" i="20"/>
  <c r="K117" i="20"/>
  <c r="J117" i="20"/>
  <c r="I117" i="20"/>
  <c r="H117" i="20"/>
  <c r="G117" i="20"/>
  <c r="F117" i="20"/>
  <c r="E117" i="20"/>
  <c r="D117" i="20"/>
  <c r="C117" i="20"/>
  <c r="Z116" i="20"/>
  <c r="Y116" i="20"/>
  <c r="X116" i="20"/>
  <c r="W116" i="20"/>
  <c r="V116" i="20"/>
  <c r="U116" i="20"/>
  <c r="T116" i="20"/>
  <c r="S116" i="20"/>
  <c r="R116" i="20"/>
  <c r="Q116" i="20"/>
  <c r="P116" i="20"/>
  <c r="O116" i="20"/>
  <c r="N116" i="20"/>
  <c r="M116" i="20"/>
  <c r="L116" i="20"/>
  <c r="K116" i="20"/>
  <c r="J116" i="20"/>
  <c r="I116" i="20"/>
  <c r="H116" i="20"/>
  <c r="G116" i="20"/>
  <c r="F116" i="20"/>
  <c r="E116" i="20"/>
  <c r="D116" i="20"/>
  <c r="C116" i="20"/>
  <c r="Z115" i="20"/>
  <c r="Y115" i="20"/>
  <c r="X115" i="20"/>
  <c r="W115" i="20"/>
  <c r="V115" i="20"/>
  <c r="U115" i="20"/>
  <c r="T115" i="20"/>
  <c r="S115" i="20"/>
  <c r="R115" i="20"/>
  <c r="Q115" i="20"/>
  <c r="P115" i="20"/>
  <c r="O115" i="20"/>
  <c r="N115" i="20"/>
  <c r="M115" i="20"/>
  <c r="L115" i="20"/>
  <c r="K115" i="20"/>
  <c r="J115" i="20"/>
  <c r="I115" i="20"/>
  <c r="H115" i="20"/>
  <c r="G115" i="20"/>
  <c r="F115" i="20"/>
  <c r="E115" i="20"/>
  <c r="D115" i="20"/>
  <c r="C115" i="20"/>
  <c r="Z114" i="20"/>
  <c r="Y114" i="20"/>
  <c r="X114" i="20"/>
  <c r="W114" i="20"/>
  <c r="V114" i="20"/>
  <c r="U114" i="20"/>
  <c r="T114" i="20"/>
  <c r="S114" i="20"/>
  <c r="R114" i="20"/>
  <c r="Q114" i="20"/>
  <c r="P114" i="20"/>
  <c r="O114" i="20"/>
  <c r="N114" i="20"/>
  <c r="M114" i="20"/>
  <c r="L114" i="20"/>
  <c r="K114" i="20"/>
  <c r="J114" i="20"/>
  <c r="I114" i="20"/>
  <c r="H114" i="20"/>
  <c r="G114" i="20"/>
  <c r="F114" i="20"/>
  <c r="E114" i="20"/>
  <c r="D114" i="20"/>
  <c r="C114" i="20"/>
  <c r="Z113" i="20"/>
  <c r="Y113" i="20"/>
  <c r="X113" i="20"/>
  <c r="W113" i="20"/>
  <c r="V113" i="20"/>
  <c r="U113" i="20"/>
  <c r="T113" i="20"/>
  <c r="S113" i="20"/>
  <c r="R113" i="20"/>
  <c r="Q113" i="20"/>
  <c r="P113" i="20"/>
  <c r="O113" i="20"/>
  <c r="N113" i="20"/>
  <c r="M113" i="20"/>
  <c r="L113" i="20"/>
  <c r="K113" i="20"/>
  <c r="J113" i="20"/>
  <c r="I113" i="20"/>
  <c r="H113" i="20"/>
  <c r="G113" i="20"/>
  <c r="F113" i="20"/>
  <c r="E113" i="20"/>
  <c r="D113" i="20"/>
  <c r="C113" i="20"/>
  <c r="Z112" i="20"/>
  <c r="Y112" i="20"/>
  <c r="X112" i="20"/>
  <c r="W112" i="20"/>
  <c r="V112" i="20"/>
  <c r="U112" i="20"/>
  <c r="T112" i="20"/>
  <c r="S112" i="20"/>
  <c r="R112" i="20"/>
  <c r="Q112" i="20"/>
  <c r="P112" i="20"/>
  <c r="O112" i="20"/>
  <c r="N112" i="20"/>
  <c r="M112" i="20"/>
  <c r="L112" i="20"/>
  <c r="K112" i="20"/>
  <c r="J112" i="20"/>
  <c r="I112" i="20"/>
  <c r="H112" i="20"/>
  <c r="G112" i="20"/>
  <c r="F112" i="20"/>
  <c r="E112" i="20"/>
  <c r="D112" i="20"/>
  <c r="C112" i="20"/>
  <c r="E100" i="24" l="1"/>
  <c r="G116" i="24"/>
  <c r="H287" i="24" s="1"/>
  <c r="J39" i="28" s="1"/>
  <c r="P285" i="24"/>
  <c r="R9" i="28" s="1"/>
  <c r="J231" i="24"/>
  <c r="P287" i="24" s="1"/>
  <c r="R39" i="28" s="1"/>
  <c r="M231" i="24"/>
  <c r="P307" i="24" s="1"/>
  <c r="R44" i="28" s="1"/>
  <c r="G135" i="24"/>
  <c r="I287" i="24" s="1"/>
  <c r="K39" i="28" s="1"/>
  <c r="P319" i="24"/>
  <c r="R47" i="28" s="1"/>
  <c r="F192" i="24"/>
  <c r="L283" i="24" s="1"/>
  <c r="N38" i="28" s="1"/>
  <c r="J116" i="24"/>
  <c r="H299" i="24" s="1"/>
  <c r="J42" i="28" s="1"/>
  <c r="M192" i="24"/>
  <c r="L311" i="24" s="1"/>
  <c r="N45" i="28" s="1"/>
  <c r="N192" i="24"/>
  <c r="L315" i="24" s="1"/>
  <c r="N46" i="28" s="1"/>
  <c r="O192" i="24"/>
  <c r="L319" i="24" s="1"/>
  <c r="N47" i="28" s="1"/>
  <c r="P289" i="20"/>
  <c r="X289" i="20"/>
  <c r="H291" i="20"/>
  <c r="X291" i="20"/>
  <c r="T292" i="20"/>
  <c r="P293" i="20"/>
  <c r="L294" i="20"/>
  <c r="H295" i="20"/>
  <c r="X295" i="20"/>
  <c r="L296" i="20"/>
  <c r="H297" i="20"/>
  <c r="X297" i="20"/>
  <c r="H289" i="20"/>
  <c r="L290" i="20"/>
  <c r="T290" i="20"/>
  <c r="P291" i="20"/>
  <c r="L292" i="20"/>
  <c r="H293" i="20"/>
  <c r="X293" i="20"/>
  <c r="T294" i="20"/>
  <c r="T298" i="20" s="1"/>
  <c r="P295" i="20"/>
  <c r="T296" i="20"/>
  <c r="P297" i="20"/>
  <c r="L194" i="24"/>
  <c r="L211" i="24" s="1"/>
  <c r="M307" i="24" s="1"/>
  <c r="O44" i="28" s="1"/>
  <c r="N290" i="20"/>
  <c r="R291" i="20"/>
  <c r="V292" i="20"/>
  <c r="Z293" i="20"/>
  <c r="J295" i="20"/>
  <c r="N296" i="20"/>
  <c r="R297" i="20"/>
  <c r="T210" i="20"/>
  <c r="L212" i="20"/>
  <c r="H137" i="24" s="1"/>
  <c r="H154" i="24" s="1"/>
  <c r="J291" i="24" s="1"/>
  <c r="L40" i="28" s="1"/>
  <c r="P207" i="20"/>
  <c r="H209" i="20"/>
  <c r="J289" i="20"/>
  <c r="R289" i="20"/>
  <c r="Z289" i="20"/>
  <c r="V290" i="20"/>
  <c r="J291" i="20"/>
  <c r="Z291" i="20"/>
  <c r="N292" i="20"/>
  <c r="J293" i="20"/>
  <c r="R293" i="20"/>
  <c r="N294" i="20"/>
  <c r="N298" i="20" s="1"/>
  <c r="I194" i="24" s="1"/>
  <c r="I211" i="24" s="1"/>
  <c r="M295" i="24" s="1"/>
  <c r="O41" i="28" s="1"/>
  <c r="V294" i="20"/>
  <c r="R295" i="20"/>
  <c r="Z295" i="20"/>
  <c r="V296" i="20"/>
  <c r="J297" i="20"/>
  <c r="Z297" i="20"/>
  <c r="H203" i="20"/>
  <c r="P203" i="20"/>
  <c r="H204" i="20"/>
  <c r="P204" i="20"/>
  <c r="X204" i="20"/>
  <c r="L205" i="20"/>
  <c r="T205" i="20"/>
  <c r="H206" i="20"/>
  <c r="P206" i="20"/>
  <c r="X206" i="20"/>
  <c r="L207" i="20"/>
  <c r="T207" i="20"/>
  <c r="H208" i="20"/>
  <c r="P208" i="20"/>
  <c r="X208" i="20"/>
  <c r="P209" i="20"/>
  <c r="X209" i="20"/>
  <c r="L210" i="20"/>
  <c r="P211" i="20"/>
  <c r="T212" i="20"/>
  <c r="L137" i="24" s="1"/>
  <c r="L154" i="24" s="1"/>
  <c r="J307" i="24" s="1"/>
  <c r="L44" i="28" s="1"/>
  <c r="M289" i="20"/>
  <c r="U289" i="20"/>
  <c r="I290" i="20"/>
  <c r="Q290" i="20"/>
  <c r="Y290" i="20"/>
  <c r="M291" i="20"/>
  <c r="U291" i="20"/>
  <c r="I292" i="20"/>
  <c r="Q292" i="20"/>
  <c r="Y292" i="20"/>
  <c r="M293" i="20"/>
  <c r="U293" i="20"/>
  <c r="I294" i="20"/>
  <c r="I298" i="20" s="1"/>
  <c r="Q294" i="20"/>
  <c r="Y294" i="20"/>
  <c r="Y298" i="20" s="1"/>
  <c r="M295" i="20"/>
  <c r="Y295" i="20"/>
  <c r="M296" i="20"/>
  <c r="U296" i="20"/>
  <c r="I297" i="20"/>
  <c r="Q297" i="20"/>
  <c r="Y297" i="20"/>
  <c r="R203" i="20"/>
  <c r="Z203" i="20"/>
  <c r="N204" i="20"/>
  <c r="V204" i="20"/>
  <c r="J205" i="20"/>
  <c r="R205" i="20"/>
  <c r="J206" i="20"/>
  <c r="R206" i="20"/>
  <c r="Z206" i="20"/>
  <c r="N207" i="20"/>
  <c r="V207" i="20"/>
  <c r="J208" i="20"/>
  <c r="R208" i="20"/>
  <c r="Z208" i="20"/>
  <c r="N209" i="20"/>
  <c r="V209" i="20"/>
  <c r="Z209" i="20"/>
  <c r="J210" i="20"/>
  <c r="N210" i="20"/>
  <c r="R210" i="20"/>
  <c r="V210" i="20"/>
  <c r="Z210" i="20"/>
  <c r="J211" i="20"/>
  <c r="N211" i="20"/>
  <c r="V211" i="20"/>
  <c r="Z211" i="20"/>
  <c r="J212" i="20"/>
  <c r="G137" i="24" s="1"/>
  <c r="G154" i="24" s="1"/>
  <c r="J287" i="24" s="1"/>
  <c r="L39" i="28" s="1"/>
  <c r="N212" i="20"/>
  <c r="I137" i="24" s="1"/>
  <c r="I154" i="24" s="1"/>
  <c r="J295" i="24" s="1"/>
  <c r="L41" i="28" s="1"/>
  <c r="R212" i="20"/>
  <c r="K137" i="24" s="1"/>
  <c r="K154" i="24" s="1"/>
  <c r="J303" i="24" s="1"/>
  <c r="L43" i="28" s="1"/>
  <c r="V212" i="20"/>
  <c r="M137" i="24" s="1"/>
  <c r="M154" i="24" s="1"/>
  <c r="J311" i="24" s="1"/>
  <c r="L45" i="28" s="1"/>
  <c r="Z212" i="20"/>
  <c r="O137" i="24" s="1"/>
  <c r="O154" i="24" s="1"/>
  <c r="J319" i="24" s="1"/>
  <c r="L47" i="28" s="1"/>
  <c r="L203" i="20"/>
  <c r="T203" i="20"/>
  <c r="X203" i="20"/>
  <c r="L204" i="20"/>
  <c r="T204" i="20"/>
  <c r="H205" i="20"/>
  <c r="P205" i="20"/>
  <c r="X205" i="20"/>
  <c r="L206" i="20"/>
  <c r="T206" i="20"/>
  <c r="H207" i="20"/>
  <c r="X207" i="20"/>
  <c r="L208" i="20"/>
  <c r="T208" i="20"/>
  <c r="L209" i="20"/>
  <c r="T209" i="20"/>
  <c r="H210" i="20"/>
  <c r="H211" i="20"/>
  <c r="X211" i="20"/>
  <c r="I289" i="20"/>
  <c r="Q289" i="20"/>
  <c r="Y289" i="20"/>
  <c r="M290" i="20"/>
  <c r="U290" i="20"/>
  <c r="I291" i="20"/>
  <c r="Q291" i="20"/>
  <c r="Y291" i="20"/>
  <c r="M292" i="20"/>
  <c r="U292" i="20"/>
  <c r="I293" i="20"/>
  <c r="Q293" i="20"/>
  <c r="Y293" i="20"/>
  <c r="M294" i="20"/>
  <c r="M298" i="20" s="1"/>
  <c r="U294" i="20"/>
  <c r="I295" i="20"/>
  <c r="Q295" i="20"/>
  <c r="U295" i="20"/>
  <c r="I296" i="20"/>
  <c r="Q296" i="20"/>
  <c r="Y296" i="20"/>
  <c r="M297" i="20"/>
  <c r="U297" i="20"/>
  <c r="J203" i="20"/>
  <c r="N203" i="20"/>
  <c r="V203" i="20"/>
  <c r="J204" i="20"/>
  <c r="R204" i="20"/>
  <c r="Z204" i="20"/>
  <c r="N205" i="20"/>
  <c r="V205" i="20"/>
  <c r="Z205" i="20"/>
  <c r="N206" i="20"/>
  <c r="V206" i="20"/>
  <c r="J207" i="20"/>
  <c r="R207" i="20"/>
  <c r="Z207" i="20"/>
  <c r="N208" i="20"/>
  <c r="V208" i="20"/>
  <c r="J209" i="20"/>
  <c r="R209" i="20"/>
  <c r="R211" i="20"/>
  <c r="G203" i="20"/>
  <c r="K203" i="20"/>
  <c r="O203" i="20"/>
  <c r="S203" i="20"/>
  <c r="W203" i="20"/>
  <c r="G204" i="20"/>
  <c r="K204" i="20"/>
  <c r="O204" i="20"/>
  <c r="S204" i="20"/>
  <c r="W204" i="20"/>
  <c r="G205" i="20"/>
  <c r="K205" i="20"/>
  <c r="O205" i="20"/>
  <c r="S205" i="20"/>
  <c r="W205" i="20"/>
  <c r="N289" i="20"/>
  <c r="V289" i="20"/>
  <c r="V298" i="20" s="1"/>
  <c r="M194" i="24" s="1"/>
  <c r="M211" i="24" s="1"/>
  <c r="M311" i="24" s="1"/>
  <c r="O45" i="28" s="1"/>
  <c r="J290" i="20"/>
  <c r="R290" i="20"/>
  <c r="Z290" i="20"/>
  <c r="N291" i="20"/>
  <c r="V291" i="20"/>
  <c r="J292" i="20"/>
  <c r="R292" i="20"/>
  <c r="Z292" i="20"/>
  <c r="N293" i="20"/>
  <c r="V293" i="20"/>
  <c r="J294" i="20"/>
  <c r="J298" i="20" s="1"/>
  <c r="G194" i="24" s="1"/>
  <c r="G211" i="24" s="1"/>
  <c r="M287" i="24" s="1"/>
  <c r="O39" i="28" s="1"/>
  <c r="R294" i="20"/>
  <c r="Z294" i="20"/>
  <c r="Z298" i="20" s="1"/>
  <c r="O194" i="24" s="1"/>
  <c r="O211" i="24" s="1"/>
  <c r="M319" i="24" s="1"/>
  <c r="O47" i="28" s="1"/>
  <c r="N295" i="20"/>
  <c r="V295" i="20"/>
  <c r="J296" i="20"/>
  <c r="R296" i="20"/>
  <c r="Z296" i="20"/>
  <c r="N297" i="20"/>
  <c r="V297" i="20"/>
  <c r="P210" i="20"/>
  <c r="T211" i="20"/>
  <c r="P212" i="20"/>
  <c r="J137" i="24" s="1"/>
  <c r="J154" i="24" s="1"/>
  <c r="J299" i="24" s="1"/>
  <c r="L42" i="28" s="1"/>
  <c r="O289" i="20"/>
  <c r="W289" i="20"/>
  <c r="K290" i="20"/>
  <c r="S290" i="20"/>
  <c r="G291" i="20"/>
  <c r="O291" i="20"/>
  <c r="W291" i="20"/>
  <c r="O292" i="20"/>
  <c r="W292" i="20"/>
  <c r="O293" i="20"/>
  <c r="W293" i="20"/>
  <c r="K294" i="20"/>
  <c r="W294" i="20"/>
  <c r="W298" i="20" s="1"/>
  <c r="K295" i="20"/>
  <c r="S295" i="20"/>
  <c r="G296" i="20"/>
  <c r="S296" i="20"/>
  <c r="G297" i="20"/>
  <c r="S297" i="20"/>
  <c r="X210" i="20"/>
  <c r="L211" i="20"/>
  <c r="H212" i="20"/>
  <c r="F137" i="24" s="1"/>
  <c r="F154" i="24" s="1"/>
  <c r="J283" i="24" s="1"/>
  <c r="L38" i="28" s="1"/>
  <c r="X212" i="20"/>
  <c r="N137" i="24" s="1"/>
  <c r="N154" i="24" s="1"/>
  <c r="J315" i="24" s="1"/>
  <c r="L46" i="28" s="1"/>
  <c r="G289" i="20"/>
  <c r="K289" i="20"/>
  <c r="S289" i="20"/>
  <c r="G290" i="20"/>
  <c r="O290" i="20"/>
  <c r="W290" i="20"/>
  <c r="K291" i="20"/>
  <c r="S291" i="20"/>
  <c r="G292" i="20"/>
  <c r="K292" i="20"/>
  <c r="S292" i="20"/>
  <c r="G293" i="20"/>
  <c r="K293" i="20"/>
  <c r="S293" i="20"/>
  <c r="G294" i="20"/>
  <c r="O294" i="20"/>
  <c r="O298" i="20" s="1"/>
  <c r="S294" i="20"/>
  <c r="S298" i="20" s="1"/>
  <c r="G295" i="20"/>
  <c r="O295" i="20"/>
  <c r="W295" i="20"/>
  <c r="K296" i="20"/>
  <c r="O296" i="20"/>
  <c r="W296" i="20"/>
  <c r="K297" i="20"/>
  <c r="O297" i="20"/>
  <c r="W297" i="20"/>
  <c r="L289" i="20"/>
  <c r="T289" i="20"/>
  <c r="H290" i="20"/>
  <c r="P290" i="20"/>
  <c r="X290" i="20"/>
  <c r="L291" i="20"/>
  <c r="T291" i="20"/>
  <c r="H292" i="20"/>
  <c r="P292" i="20"/>
  <c r="X292" i="20"/>
  <c r="L293" i="20"/>
  <c r="T293" i="20"/>
  <c r="H294" i="20"/>
  <c r="P294" i="20"/>
  <c r="P298" i="20" s="1"/>
  <c r="J194" i="24" s="1"/>
  <c r="J211" i="24" s="1"/>
  <c r="M299" i="24" s="1"/>
  <c r="O42" i="28" s="1"/>
  <c r="X294" i="20"/>
  <c r="X298" i="20" s="1"/>
  <c r="L295" i="20"/>
  <c r="T295" i="20"/>
  <c r="H296" i="20"/>
  <c r="P296" i="20"/>
  <c r="X296" i="20"/>
  <c r="L297" i="20"/>
  <c r="T297" i="20"/>
  <c r="N194" i="24"/>
  <c r="N211" i="24" s="1"/>
  <c r="M315" i="24" s="1"/>
  <c r="O46" i="28" s="1"/>
  <c r="I203" i="20"/>
  <c r="M203" i="20"/>
  <c r="Q203" i="20"/>
  <c r="U203" i="20"/>
  <c r="Y203" i="20"/>
  <c r="I204" i="20"/>
  <c r="M204" i="20"/>
  <c r="Q204" i="20"/>
  <c r="U204" i="20"/>
  <c r="Y204" i="20"/>
  <c r="I205" i="20"/>
  <c r="M205" i="20"/>
  <c r="Q205" i="20"/>
  <c r="U205" i="20"/>
  <c r="Y205" i="20"/>
  <c r="I206" i="20"/>
  <c r="M206" i="20"/>
  <c r="Q206" i="20"/>
  <c r="U206" i="20"/>
  <c r="Y206" i="20"/>
  <c r="I207" i="20"/>
  <c r="M207" i="20"/>
  <c r="Q207" i="20"/>
  <c r="U207" i="20"/>
  <c r="Y207" i="20"/>
  <c r="I208" i="20"/>
  <c r="M208" i="20"/>
  <c r="Q208" i="20"/>
  <c r="U208" i="20"/>
  <c r="Y208" i="20"/>
  <c r="I209" i="20"/>
  <c r="M209" i="20"/>
  <c r="Q209" i="20"/>
  <c r="U209" i="20"/>
  <c r="Y209" i="20"/>
  <c r="I210" i="20"/>
  <c r="M210" i="20"/>
  <c r="Q210" i="20"/>
  <c r="U210" i="20"/>
  <c r="Y210" i="20"/>
  <c r="I211" i="20"/>
  <c r="M211" i="20"/>
  <c r="Q211" i="20"/>
  <c r="U211" i="20"/>
  <c r="Y211" i="20"/>
  <c r="I212" i="20"/>
  <c r="M212" i="20"/>
  <c r="Q212" i="20"/>
  <c r="U212" i="20"/>
  <c r="Y212" i="20"/>
  <c r="G206" i="20"/>
  <c r="K206" i="20"/>
  <c r="O206" i="20"/>
  <c r="S206" i="20"/>
  <c r="W206" i="20"/>
  <c r="G207" i="20"/>
  <c r="K207" i="20"/>
  <c r="O207" i="20"/>
  <c r="S207" i="20"/>
  <c r="W207" i="20"/>
  <c r="G208" i="20"/>
  <c r="K208" i="20"/>
  <c r="O208" i="20"/>
  <c r="S208" i="20"/>
  <c r="W208" i="20"/>
  <c r="G209" i="20"/>
  <c r="K209" i="20"/>
  <c r="O209" i="20"/>
  <c r="S209" i="20"/>
  <c r="W209" i="20"/>
  <c r="G210" i="20"/>
  <c r="K210" i="20"/>
  <c r="O210" i="20"/>
  <c r="S210" i="20"/>
  <c r="W210" i="20"/>
  <c r="G211" i="20"/>
  <c r="K211" i="20"/>
  <c r="O211" i="20"/>
  <c r="S211" i="20"/>
  <c r="W211" i="20"/>
  <c r="G212" i="20"/>
  <c r="K212" i="20"/>
  <c r="O212" i="20"/>
  <c r="S212" i="20"/>
  <c r="W212" i="20"/>
  <c r="M33" i="20"/>
  <c r="Z92" i="20"/>
  <c r="O61" i="24" s="1"/>
  <c r="O78" i="24" s="1"/>
  <c r="H47" i="28" s="1"/>
  <c r="Y92" i="20"/>
  <c r="X92" i="20"/>
  <c r="W92" i="20"/>
  <c r="V92" i="20"/>
  <c r="M61" i="24" s="1"/>
  <c r="M78" i="24" s="1"/>
  <c r="H45" i="28" s="1"/>
  <c r="U92" i="20"/>
  <c r="T92" i="20"/>
  <c r="L61" i="24" s="1"/>
  <c r="L78" i="24" s="1"/>
  <c r="H44" i="28" s="1"/>
  <c r="S92" i="20"/>
  <c r="R92" i="20"/>
  <c r="K61" i="24" s="1"/>
  <c r="K78" i="24" s="1"/>
  <c r="H43" i="28" s="1"/>
  <c r="Q92" i="20"/>
  <c r="P92" i="20"/>
  <c r="J61" i="24" s="1"/>
  <c r="J78" i="24" s="1"/>
  <c r="H42" i="28" s="1"/>
  <c r="O92" i="20"/>
  <c r="N92" i="20"/>
  <c r="I61" i="24" s="1"/>
  <c r="I78" i="24" s="1"/>
  <c r="H41" i="28" s="1"/>
  <c r="M92" i="20"/>
  <c r="L92" i="20"/>
  <c r="H61" i="24" s="1"/>
  <c r="H78" i="24" s="1"/>
  <c r="H40" i="28" s="1"/>
  <c r="K92" i="20"/>
  <c r="J92" i="20"/>
  <c r="G61" i="24" s="1"/>
  <c r="I92" i="20"/>
  <c r="H92" i="20"/>
  <c r="G92" i="20"/>
  <c r="F92" i="20"/>
  <c r="E61" i="24" s="1"/>
  <c r="E92" i="20"/>
  <c r="D92" i="20"/>
  <c r="D61" i="24" s="1"/>
  <c r="C92" i="20"/>
  <c r="Z91" i="20"/>
  <c r="Y91" i="20"/>
  <c r="X91" i="20"/>
  <c r="W91" i="20"/>
  <c r="V91" i="20"/>
  <c r="U91" i="20"/>
  <c r="T91" i="20"/>
  <c r="S91" i="20"/>
  <c r="R91" i="20"/>
  <c r="Q91" i="20"/>
  <c r="P91" i="20"/>
  <c r="O91" i="20"/>
  <c r="N91" i="20"/>
  <c r="M91" i="20"/>
  <c r="L91" i="20"/>
  <c r="K91" i="20"/>
  <c r="J91" i="20"/>
  <c r="I91" i="20"/>
  <c r="H91" i="20"/>
  <c r="G91" i="20"/>
  <c r="F91" i="20"/>
  <c r="E91" i="20"/>
  <c r="D91" i="20"/>
  <c r="C91" i="20"/>
  <c r="Z90" i="20"/>
  <c r="Y90" i="20"/>
  <c r="X90" i="20"/>
  <c r="W90" i="20"/>
  <c r="V90" i="20"/>
  <c r="U90" i="20"/>
  <c r="T90" i="20"/>
  <c r="S90" i="20"/>
  <c r="R90" i="20"/>
  <c r="Q90" i="20"/>
  <c r="P90" i="20"/>
  <c r="O90" i="20"/>
  <c r="N90" i="20"/>
  <c r="M90" i="20"/>
  <c r="L90" i="20"/>
  <c r="K90" i="20"/>
  <c r="J90" i="20"/>
  <c r="I90" i="20"/>
  <c r="H90" i="20"/>
  <c r="G90" i="20"/>
  <c r="F90" i="20"/>
  <c r="E90" i="20"/>
  <c r="D90" i="20"/>
  <c r="C90" i="20"/>
  <c r="Z89" i="20"/>
  <c r="Y89" i="20"/>
  <c r="X89" i="20"/>
  <c r="W89" i="20"/>
  <c r="V89" i="20"/>
  <c r="U89" i="20"/>
  <c r="T89" i="20"/>
  <c r="S89" i="20"/>
  <c r="R89" i="20"/>
  <c r="Q89" i="20"/>
  <c r="P89" i="20"/>
  <c r="O89" i="20"/>
  <c r="N89" i="20"/>
  <c r="M89" i="20"/>
  <c r="L89" i="20"/>
  <c r="K89" i="20"/>
  <c r="J89" i="20"/>
  <c r="I89" i="20"/>
  <c r="H89" i="20"/>
  <c r="G89" i="20"/>
  <c r="F89" i="20"/>
  <c r="E89" i="20"/>
  <c r="D89" i="20"/>
  <c r="C89" i="20"/>
  <c r="Z88" i="20"/>
  <c r="Y88" i="20"/>
  <c r="X88" i="20"/>
  <c r="W88" i="20"/>
  <c r="V88" i="20"/>
  <c r="U88" i="20"/>
  <c r="T88" i="20"/>
  <c r="S88" i="20"/>
  <c r="R88" i="20"/>
  <c r="Q88" i="20"/>
  <c r="P88" i="20"/>
  <c r="O88" i="20"/>
  <c r="N88" i="20"/>
  <c r="M88" i="20"/>
  <c r="L88" i="20"/>
  <c r="K88" i="20"/>
  <c r="J88" i="20"/>
  <c r="I88" i="20"/>
  <c r="H88" i="20"/>
  <c r="G88" i="20"/>
  <c r="F88" i="20"/>
  <c r="E88" i="20"/>
  <c r="D88" i="20"/>
  <c r="C88" i="20"/>
  <c r="Z87" i="20"/>
  <c r="Y87" i="20"/>
  <c r="X87" i="20"/>
  <c r="W87" i="20"/>
  <c r="V87" i="20"/>
  <c r="U87" i="20"/>
  <c r="T87" i="20"/>
  <c r="S87" i="20"/>
  <c r="R87" i="20"/>
  <c r="Q87" i="20"/>
  <c r="P87" i="20"/>
  <c r="O87" i="20"/>
  <c r="N87" i="20"/>
  <c r="M87" i="20"/>
  <c r="L87" i="20"/>
  <c r="K87" i="20"/>
  <c r="J87" i="20"/>
  <c r="I87" i="20"/>
  <c r="H87" i="20"/>
  <c r="G87" i="20"/>
  <c r="F87" i="20"/>
  <c r="E87" i="20"/>
  <c r="D87" i="20"/>
  <c r="C87" i="20"/>
  <c r="Z86" i="20"/>
  <c r="Y86" i="20"/>
  <c r="X86" i="20"/>
  <c r="W86" i="20"/>
  <c r="V86" i="20"/>
  <c r="U86" i="20"/>
  <c r="T86" i="20"/>
  <c r="S86" i="20"/>
  <c r="R86" i="20"/>
  <c r="Q86" i="20"/>
  <c r="P86" i="20"/>
  <c r="O86" i="20"/>
  <c r="N86" i="20"/>
  <c r="M86" i="20"/>
  <c r="L86" i="20"/>
  <c r="K86" i="20"/>
  <c r="J86" i="20"/>
  <c r="I86" i="20"/>
  <c r="H86" i="20"/>
  <c r="G86" i="20"/>
  <c r="F86" i="20"/>
  <c r="E86" i="20"/>
  <c r="D86" i="20"/>
  <c r="C86" i="20"/>
  <c r="Z85" i="20"/>
  <c r="Y85" i="20"/>
  <c r="X85" i="20"/>
  <c r="W85" i="20"/>
  <c r="V85" i="20"/>
  <c r="U85" i="20"/>
  <c r="T85" i="20"/>
  <c r="S85" i="20"/>
  <c r="R85" i="20"/>
  <c r="Q85" i="20"/>
  <c r="P85" i="20"/>
  <c r="O85" i="20"/>
  <c r="N85" i="20"/>
  <c r="M85" i="20"/>
  <c r="L85" i="20"/>
  <c r="K85" i="20"/>
  <c r="J85" i="20"/>
  <c r="I85" i="20"/>
  <c r="H85" i="20"/>
  <c r="G85" i="20"/>
  <c r="F85" i="20"/>
  <c r="E85" i="20"/>
  <c r="D85" i="20"/>
  <c r="C85" i="20"/>
  <c r="Z84" i="20"/>
  <c r="Y84" i="20"/>
  <c r="X84" i="20"/>
  <c r="W84" i="20"/>
  <c r="V84" i="20"/>
  <c r="U84" i="20"/>
  <c r="T84" i="20"/>
  <c r="S84" i="20"/>
  <c r="R84" i="20"/>
  <c r="Q84" i="20"/>
  <c r="P84" i="20"/>
  <c r="O84" i="20"/>
  <c r="N84" i="20"/>
  <c r="M84" i="20"/>
  <c r="L84" i="20"/>
  <c r="K84" i="20"/>
  <c r="J84" i="20"/>
  <c r="I84" i="20"/>
  <c r="H84" i="20"/>
  <c r="G84" i="20"/>
  <c r="F84" i="20"/>
  <c r="E84" i="20"/>
  <c r="D84" i="20"/>
  <c r="C84" i="20"/>
  <c r="Z83" i="20"/>
  <c r="Y83" i="20"/>
  <c r="X83" i="20"/>
  <c r="W83" i="20"/>
  <c r="V83" i="20"/>
  <c r="U83" i="20"/>
  <c r="T83" i="20"/>
  <c r="S83" i="20"/>
  <c r="R83" i="20"/>
  <c r="Q83" i="20"/>
  <c r="P83" i="20"/>
  <c r="O83" i="20"/>
  <c r="N83" i="20"/>
  <c r="M83" i="20"/>
  <c r="L83" i="20"/>
  <c r="K83" i="20"/>
  <c r="J83" i="20"/>
  <c r="I83" i="20"/>
  <c r="H83" i="20"/>
  <c r="G83" i="20"/>
  <c r="F83" i="20"/>
  <c r="E83" i="20"/>
  <c r="D83" i="20"/>
  <c r="C83" i="20"/>
  <c r="Z70" i="20"/>
  <c r="X70" i="20"/>
  <c r="V70" i="20"/>
  <c r="T70" i="20"/>
  <c r="R70" i="20"/>
  <c r="P70" i="20"/>
  <c r="N70" i="20"/>
  <c r="L70" i="20"/>
  <c r="J70" i="20"/>
  <c r="H70" i="20"/>
  <c r="F70" i="20"/>
  <c r="D70" i="20"/>
  <c r="Z67" i="20"/>
  <c r="O33" i="24" s="1"/>
  <c r="Y67" i="20"/>
  <c r="X67" i="20"/>
  <c r="N33" i="24" s="1"/>
  <c r="W67" i="20"/>
  <c r="V67" i="20"/>
  <c r="M33" i="24" s="1"/>
  <c r="U67" i="20"/>
  <c r="T67" i="20"/>
  <c r="L33" i="24" s="1"/>
  <c r="S67" i="20"/>
  <c r="R67" i="20"/>
  <c r="K33" i="24" s="1"/>
  <c r="Q67" i="20"/>
  <c r="P67" i="20"/>
  <c r="J33" i="24" s="1"/>
  <c r="O67" i="20"/>
  <c r="N67" i="20"/>
  <c r="I33" i="24" s="1"/>
  <c r="M67" i="20"/>
  <c r="L67" i="20"/>
  <c r="H33" i="24" s="1"/>
  <c r="K67" i="20"/>
  <c r="J67" i="20"/>
  <c r="G33" i="24" s="1"/>
  <c r="I67" i="20"/>
  <c r="H67" i="20"/>
  <c r="F33" i="24" s="1"/>
  <c r="G67" i="20"/>
  <c r="F67" i="20"/>
  <c r="E33" i="24" s="1"/>
  <c r="E67" i="20"/>
  <c r="D67" i="20"/>
  <c r="D33" i="24" s="1"/>
  <c r="C67" i="20"/>
  <c r="Z66" i="20"/>
  <c r="Y66" i="20"/>
  <c r="X66" i="20"/>
  <c r="W66" i="20"/>
  <c r="V66" i="20"/>
  <c r="U66" i="20"/>
  <c r="T66" i="20"/>
  <c r="S66" i="20"/>
  <c r="R66" i="20"/>
  <c r="Q66" i="20"/>
  <c r="P66" i="20"/>
  <c r="O66" i="20"/>
  <c r="N66" i="20"/>
  <c r="M66" i="20"/>
  <c r="L66" i="20"/>
  <c r="K66" i="20"/>
  <c r="J66" i="20"/>
  <c r="I66" i="20"/>
  <c r="H66" i="20"/>
  <c r="G66" i="20"/>
  <c r="F66" i="20"/>
  <c r="E66" i="20"/>
  <c r="D66" i="20"/>
  <c r="C66" i="20"/>
  <c r="Z65" i="20"/>
  <c r="Y65" i="20"/>
  <c r="X65" i="20"/>
  <c r="W65" i="20"/>
  <c r="V65" i="20"/>
  <c r="U65" i="20"/>
  <c r="T65" i="20"/>
  <c r="S65" i="20"/>
  <c r="R65" i="20"/>
  <c r="Q65" i="20"/>
  <c r="P65" i="20"/>
  <c r="O65" i="20"/>
  <c r="N65" i="20"/>
  <c r="M65" i="20"/>
  <c r="L65" i="20"/>
  <c r="K65" i="20"/>
  <c r="J65" i="20"/>
  <c r="I65" i="20"/>
  <c r="H65" i="20"/>
  <c r="G65" i="20"/>
  <c r="F65" i="20"/>
  <c r="E65" i="20"/>
  <c r="D65" i="20"/>
  <c r="C65" i="20"/>
  <c r="Z64" i="20"/>
  <c r="Y64" i="20"/>
  <c r="X64" i="20"/>
  <c r="W64" i="20"/>
  <c r="V64" i="20"/>
  <c r="U64" i="20"/>
  <c r="T64" i="20"/>
  <c r="S64" i="20"/>
  <c r="R64" i="20"/>
  <c r="Q64" i="20"/>
  <c r="P64" i="20"/>
  <c r="O64" i="20"/>
  <c r="N64" i="20"/>
  <c r="M64" i="20"/>
  <c r="L64" i="20"/>
  <c r="K64" i="20"/>
  <c r="J64" i="20"/>
  <c r="I64" i="20"/>
  <c r="H64" i="20"/>
  <c r="G64" i="20"/>
  <c r="F64" i="20"/>
  <c r="E64" i="20"/>
  <c r="D64" i="20"/>
  <c r="C64" i="20"/>
  <c r="Z63" i="20"/>
  <c r="Y63" i="20"/>
  <c r="X63" i="20"/>
  <c r="W63" i="20"/>
  <c r="V63" i="20"/>
  <c r="U63" i="20"/>
  <c r="T63" i="20"/>
  <c r="S63" i="20"/>
  <c r="R63" i="20"/>
  <c r="Q63" i="20"/>
  <c r="P63" i="20"/>
  <c r="O63" i="20"/>
  <c r="N63" i="20"/>
  <c r="M63" i="20"/>
  <c r="L63" i="20"/>
  <c r="K63" i="20"/>
  <c r="J63" i="20"/>
  <c r="I63" i="20"/>
  <c r="H63" i="20"/>
  <c r="G63" i="20"/>
  <c r="F63" i="20"/>
  <c r="E63" i="20"/>
  <c r="D63" i="20"/>
  <c r="C63" i="20"/>
  <c r="Z62" i="20"/>
  <c r="Y62" i="20"/>
  <c r="X62" i="20"/>
  <c r="W62" i="20"/>
  <c r="V62" i="20"/>
  <c r="U62" i="20"/>
  <c r="T62" i="20"/>
  <c r="S62" i="20"/>
  <c r="R62" i="20"/>
  <c r="Q62" i="20"/>
  <c r="P62" i="20"/>
  <c r="O62" i="20"/>
  <c r="N62" i="20"/>
  <c r="M62" i="20"/>
  <c r="L62" i="20"/>
  <c r="K62" i="20"/>
  <c r="J62" i="20"/>
  <c r="I62" i="20"/>
  <c r="H62" i="20"/>
  <c r="G62" i="20"/>
  <c r="F62" i="20"/>
  <c r="E62" i="20"/>
  <c r="D62" i="20"/>
  <c r="C62" i="20"/>
  <c r="Z61" i="20"/>
  <c r="Y61" i="20"/>
  <c r="X61" i="20"/>
  <c r="W61" i="20"/>
  <c r="V61" i="20"/>
  <c r="U61" i="20"/>
  <c r="T61" i="20"/>
  <c r="S61" i="20"/>
  <c r="R61" i="20"/>
  <c r="Q61" i="20"/>
  <c r="P61" i="20"/>
  <c r="O61" i="20"/>
  <c r="N61" i="20"/>
  <c r="M61" i="20"/>
  <c r="L61" i="20"/>
  <c r="K61" i="20"/>
  <c r="J61" i="20"/>
  <c r="I61" i="20"/>
  <c r="H61" i="20"/>
  <c r="G61" i="20"/>
  <c r="F61" i="20"/>
  <c r="E61" i="20"/>
  <c r="D61" i="20"/>
  <c r="C61" i="20"/>
  <c r="Z60" i="20"/>
  <c r="Y60" i="20"/>
  <c r="X60" i="20"/>
  <c r="W60" i="20"/>
  <c r="V60" i="20"/>
  <c r="U60" i="20"/>
  <c r="T60" i="20"/>
  <c r="S60" i="20"/>
  <c r="R60" i="20"/>
  <c r="Q60" i="20"/>
  <c r="P60" i="20"/>
  <c r="O60" i="20"/>
  <c r="N60" i="20"/>
  <c r="M60" i="20"/>
  <c r="L60" i="20"/>
  <c r="K60" i="20"/>
  <c r="J60" i="20"/>
  <c r="I60" i="20"/>
  <c r="H60" i="20"/>
  <c r="G60" i="20"/>
  <c r="F60" i="20"/>
  <c r="E60" i="20"/>
  <c r="D60" i="20"/>
  <c r="C60" i="20"/>
  <c r="Z59" i="20"/>
  <c r="Y59" i="20"/>
  <c r="X59" i="20"/>
  <c r="W59" i="20"/>
  <c r="V59" i="20"/>
  <c r="U59" i="20"/>
  <c r="T59" i="20"/>
  <c r="S59" i="20"/>
  <c r="R59" i="20"/>
  <c r="Q59" i="20"/>
  <c r="P59" i="20"/>
  <c r="O59" i="20"/>
  <c r="N59" i="20"/>
  <c r="M59" i="20"/>
  <c r="L59" i="20"/>
  <c r="K59" i="20"/>
  <c r="J59" i="20"/>
  <c r="I59" i="20"/>
  <c r="H59" i="20"/>
  <c r="G59" i="20"/>
  <c r="F59" i="20"/>
  <c r="E59" i="20"/>
  <c r="D59" i="20"/>
  <c r="C59" i="20"/>
  <c r="Z58" i="20"/>
  <c r="Y58" i="20"/>
  <c r="X58" i="20"/>
  <c r="W58" i="20"/>
  <c r="V58" i="20"/>
  <c r="U58" i="20"/>
  <c r="T58" i="20"/>
  <c r="S58" i="20"/>
  <c r="R58" i="20"/>
  <c r="Q58" i="20"/>
  <c r="P58" i="20"/>
  <c r="O58" i="20"/>
  <c r="N58" i="20"/>
  <c r="M58" i="20"/>
  <c r="L58" i="20"/>
  <c r="K58" i="20"/>
  <c r="J58" i="20"/>
  <c r="I58" i="20"/>
  <c r="H58" i="20"/>
  <c r="G58" i="20"/>
  <c r="F58" i="20"/>
  <c r="E58" i="20"/>
  <c r="D58" i="20"/>
  <c r="C58" i="20"/>
  <c r="Z45" i="20"/>
  <c r="X45" i="20"/>
  <c r="V45" i="20"/>
  <c r="T45" i="20"/>
  <c r="R45" i="20"/>
  <c r="P45" i="20"/>
  <c r="N45" i="20"/>
  <c r="L45" i="20"/>
  <c r="J45" i="20"/>
  <c r="H45" i="20"/>
  <c r="F45" i="20"/>
  <c r="D45" i="20"/>
  <c r="Z42" i="20"/>
  <c r="O5" i="24" s="1"/>
  <c r="Y42" i="20"/>
  <c r="X42" i="20"/>
  <c r="N5" i="24" s="1"/>
  <c r="W42" i="20"/>
  <c r="V42" i="20"/>
  <c r="M5" i="24" s="1"/>
  <c r="U42" i="20"/>
  <c r="T42" i="20"/>
  <c r="L5" i="24" s="1"/>
  <c r="S42" i="20"/>
  <c r="R42" i="20"/>
  <c r="K5" i="24" s="1"/>
  <c r="Q42" i="20"/>
  <c r="P42" i="20"/>
  <c r="J5" i="24" s="1"/>
  <c r="O42" i="20"/>
  <c r="N42" i="20"/>
  <c r="I5" i="24" s="1"/>
  <c r="M42" i="20"/>
  <c r="L42" i="20"/>
  <c r="H5" i="24" s="1"/>
  <c r="K42" i="20"/>
  <c r="J42" i="20"/>
  <c r="G5" i="24" s="1"/>
  <c r="I42" i="20"/>
  <c r="H42" i="20"/>
  <c r="F5" i="24" s="1"/>
  <c r="F25" i="24" s="1"/>
  <c r="F31" i="24" s="1"/>
  <c r="G42" i="20"/>
  <c r="F42" i="20"/>
  <c r="E5" i="24" s="1"/>
  <c r="E42" i="20"/>
  <c r="D42" i="20"/>
  <c r="D5" i="24" s="1"/>
  <c r="D25" i="24" s="1"/>
  <c r="D31" i="24" s="1"/>
  <c r="F36" i="28" s="1"/>
  <c r="C42" i="20"/>
  <c r="Z41" i="20"/>
  <c r="Y41" i="20"/>
  <c r="X41" i="20"/>
  <c r="W41" i="20"/>
  <c r="V41" i="20"/>
  <c r="U41" i="20"/>
  <c r="T41" i="20"/>
  <c r="S41" i="20"/>
  <c r="R41" i="20"/>
  <c r="Q41" i="20"/>
  <c r="P41" i="20"/>
  <c r="O41" i="20"/>
  <c r="N41" i="20"/>
  <c r="M41" i="20"/>
  <c r="L41" i="20"/>
  <c r="K41" i="20"/>
  <c r="J41" i="20"/>
  <c r="I41" i="20"/>
  <c r="H41" i="20"/>
  <c r="G41" i="20"/>
  <c r="F41" i="20"/>
  <c r="E41" i="20"/>
  <c r="D41" i="20"/>
  <c r="C41" i="20"/>
  <c r="Z40" i="20"/>
  <c r="Y40" i="20"/>
  <c r="X40" i="20"/>
  <c r="W40" i="20"/>
  <c r="V40" i="20"/>
  <c r="U40" i="20"/>
  <c r="T40" i="20"/>
  <c r="S40" i="20"/>
  <c r="R40" i="20"/>
  <c r="Q40" i="20"/>
  <c r="P40" i="20"/>
  <c r="O40" i="20"/>
  <c r="N40" i="20"/>
  <c r="M40" i="20"/>
  <c r="L40" i="20"/>
  <c r="K40" i="20"/>
  <c r="J40" i="20"/>
  <c r="I40" i="20"/>
  <c r="H40" i="20"/>
  <c r="G40" i="20"/>
  <c r="F40" i="20"/>
  <c r="E40" i="20"/>
  <c r="D40" i="20"/>
  <c r="C40" i="20"/>
  <c r="Z39" i="20"/>
  <c r="Y39" i="20"/>
  <c r="X39" i="20"/>
  <c r="W39" i="20"/>
  <c r="V39" i="20"/>
  <c r="U39" i="20"/>
  <c r="T39" i="20"/>
  <c r="S39" i="20"/>
  <c r="R39" i="20"/>
  <c r="Q39" i="20"/>
  <c r="P39" i="20"/>
  <c r="O39" i="20"/>
  <c r="N39" i="20"/>
  <c r="M39" i="20"/>
  <c r="L39" i="20"/>
  <c r="K39" i="20"/>
  <c r="J39" i="20"/>
  <c r="I39" i="20"/>
  <c r="H39" i="20"/>
  <c r="G39" i="20"/>
  <c r="F39" i="20"/>
  <c r="E39" i="20"/>
  <c r="D39" i="20"/>
  <c r="C39" i="20"/>
  <c r="Z38" i="20"/>
  <c r="Y38" i="20"/>
  <c r="X38" i="20"/>
  <c r="W38" i="20"/>
  <c r="V38" i="20"/>
  <c r="U38" i="20"/>
  <c r="T38" i="20"/>
  <c r="S38" i="20"/>
  <c r="R38" i="20"/>
  <c r="Q38" i="20"/>
  <c r="P38" i="20"/>
  <c r="O38" i="20"/>
  <c r="N38" i="20"/>
  <c r="M38" i="20"/>
  <c r="L38" i="20"/>
  <c r="K38" i="20"/>
  <c r="J38" i="20"/>
  <c r="I38" i="20"/>
  <c r="H38" i="20"/>
  <c r="G38" i="20"/>
  <c r="F38" i="20"/>
  <c r="E38" i="20"/>
  <c r="D38" i="20"/>
  <c r="C38" i="20"/>
  <c r="Z37" i="20"/>
  <c r="Y37" i="20"/>
  <c r="X37" i="20"/>
  <c r="W37" i="20"/>
  <c r="V37" i="20"/>
  <c r="U37" i="20"/>
  <c r="T37" i="20"/>
  <c r="S37" i="20"/>
  <c r="R37" i="20"/>
  <c r="Q37" i="20"/>
  <c r="P37" i="20"/>
  <c r="O37" i="20"/>
  <c r="N37" i="20"/>
  <c r="M37" i="20"/>
  <c r="L37" i="20"/>
  <c r="K37" i="20"/>
  <c r="J37" i="20"/>
  <c r="I37" i="20"/>
  <c r="H37" i="20"/>
  <c r="G37" i="20"/>
  <c r="F37" i="20"/>
  <c r="E37" i="20"/>
  <c r="D37" i="20"/>
  <c r="C37" i="20"/>
  <c r="Z36" i="20"/>
  <c r="Y36" i="20"/>
  <c r="X36" i="20"/>
  <c r="W36" i="20"/>
  <c r="V36" i="20"/>
  <c r="U36" i="20"/>
  <c r="T36" i="20"/>
  <c r="S36" i="20"/>
  <c r="R36" i="20"/>
  <c r="Q36" i="20"/>
  <c r="P36" i="20"/>
  <c r="O36" i="20"/>
  <c r="N36" i="20"/>
  <c r="M36" i="20"/>
  <c r="L36" i="20"/>
  <c r="K36" i="20"/>
  <c r="J36" i="20"/>
  <c r="I36" i="20"/>
  <c r="H36" i="20"/>
  <c r="G36" i="20"/>
  <c r="F36" i="20"/>
  <c r="E36" i="20"/>
  <c r="D36" i="20"/>
  <c r="C36" i="20"/>
  <c r="Z35" i="20"/>
  <c r="Y35" i="20"/>
  <c r="X35" i="20"/>
  <c r="W35" i="20"/>
  <c r="V35" i="20"/>
  <c r="U35" i="20"/>
  <c r="T35" i="20"/>
  <c r="S35" i="20"/>
  <c r="R35" i="20"/>
  <c r="Q35" i="20"/>
  <c r="P35" i="20"/>
  <c r="O35" i="20"/>
  <c r="N35" i="20"/>
  <c r="M35" i="20"/>
  <c r="L35" i="20"/>
  <c r="K35" i="20"/>
  <c r="J35" i="20"/>
  <c r="I35" i="20"/>
  <c r="H35" i="20"/>
  <c r="G35" i="20"/>
  <c r="F35" i="20"/>
  <c r="E35" i="20"/>
  <c r="D35" i="20"/>
  <c r="C35" i="20"/>
  <c r="Z34" i="20"/>
  <c r="Y34" i="20"/>
  <c r="X34" i="20"/>
  <c r="W34" i="20"/>
  <c r="V34" i="20"/>
  <c r="U34" i="20"/>
  <c r="T34" i="20"/>
  <c r="S34" i="20"/>
  <c r="R34" i="20"/>
  <c r="Q34" i="20"/>
  <c r="P34" i="20"/>
  <c r="O34" i="20"/>
  <c r="N34" i="20"/>
  <c r="M34" i="20"/>
  <c r="L34" i="20"/>
  <c r="K34" i="20"/>
  <c r="J34" i="20"/>
  <c r="I34" i="20"/>
  <c r="H34" i="20"/>
  <c r="G34" i="20"/>
  <c r="F34" i="20"/>
  <c r="E34" i="20"/>
  <c r="D34" i="20"/>
  <c r="C34" i="20"/>
  <c r="Z33" i="20"/>
  <c r="Y33" i="20"/>
  <c r="X33" i="20"/>
  <c r="W33" i="20"/>
  <c r="V33" i="20"/>
  <c r="U33" i="20"/>
  <c r="T33" i="20"/>
  <c r="S33" i="20"/>
  <c r="R33" i="20"/>
  <c r="Q33" i="20"/>
  <c r="P33" i="20"/>
  <c r="O33" i="20"/>
  <c r="N33" i="20"/>
  <c r="L33" i="20"/>
  <c r="K33" i="20"/>
  <c r="J33" i="20"/>
  <c r="I33" i="20"/>
  <c r="H33" i="20"/>
  <c r="G33" i="20"/>
  <c r="F33" i="20"/>
  <c r="E33" i="20"/>
  <c r="D33" i="20"/>
  <c r="C33" i="20"/>
  <c r="Z20" i="20"/>
  <c r="X20" i="20"/>
  <c r="V20" i="20"/>
  <c r="T20" i="20"/>
  <c r="R20" i="20"/>
  <c r="P20" i="20"/>
  <c r="N20" i="20"/>
  <c r="L20" i="20"/>
  <c r="J20" i="20"/>
  <c r="H20" i="20"/>
  <c r="F20" i="20"/>
  <c r="D20" i="20"/>
  <c r="Z18" i="20"/>
  <c r="X18" i="20"/>
  <c r="V18" i="20"/>
  <c r="T18" i="20"/>
  <c r="R18" i="20"/>
  <c r="P18" i="20"/>
  <c r="N18" i="20"/>
  <c r="L18" i="20"/>
  <c r="J18" i="20"/>
  <c r="H18" i="20"/>
  <c r="F18" i="20"/>
  <c r="D18" i="20"/>
  <c r="N99" i="21"/>
  <c r="P99" i="21"/>
  <c r="T99" i="21"/>
  <c r="X99" i="21"/>
  <c r="O215" i="24"/>
  <c r="O229" i="24" s="1"/>
  <c r="P317" i="24" s="1"/>
  <c r="R17" i="28" s="1"/>
  <c r="P315" i="24"/>
  <c r="R46" i="28" s="1"/>
  <c r="I215" i="24"/>
  <c r="M215" i="24"/>
  <c r="H215" i="24"/>
  <c r="L215" i="24"/>
  <c r="P295" i="24"/>
  <c r="R41" i="28" s="1"/>
  <c r="G215" i="24"/>
  <c r="F215" i="24"/>
  <c r="Z287" i="21"/>
  <c r="Y287" i="21"/>
  <c r="X287" i="21"/>
  <c r="W287" i="21"/>
  <c r="V287" i="21"/>
  <c r="U287" i="21"/>
  <c r="T287" i="21"/>
  <c r="S287" i="21"/>
  <c r="R287" i="21"/>
  <c r="Q287" i="21"/>
  <c r="P287" i="21"/>
  <c r="O287" i="21"/>
  <c r="N287" i="21"/>
  <c r="M287" i="21"/>
  <c r="L287" i="21"/>
  <c r="K287" i="21"/>
  <c r="J287" i="21"/>
  <c r="I287" i="21"/>
  <c r="H287" i="21"/>
  <c r="G287" i="21"/>
  <c r="Z286" i="21"/>
  <c r="Y286" i="21"/>
  <c r="X286" i="21"/>
  <c r="W286" i="21"/>
  <c r="V286" i="21"/>
  <c r="U286" i="21"/>
  <c r="T286" i="21"/>
  <c r="S286" i="21"/>
  <c r="R286" i="21"/>
  <c r="Q286" i="21"/>
  <c r="P286" i="21"/>
  <c r="O286" i="21"/>
  <c r="N286" i="21"/>
  <c r="M286" i="21"/>
  <c r="L286" i="21"/>
  <c r="K286" i="21"/>
  <c r="J286" i="21"/>
  <c r="I286" i="21"/>
  <c r="H286" i="21"/>
  <c r="G286" i="21"/>
  <c r="Z285" i="21"/>
  <c r="Y285" i="21"/>
  <c r="X285" i="21"/>
  <c r="W285" i="21"/>
  <c r="V285" i="21"/>
  <c r="U285" i="21"/>
  <c r="T285" i="21"/>
  <c r="S285" i="21"/>
  <c r="R285" i="21"/>
  <c r="Q285" i="21"/>
  <c r="P285" i="21"/>
  <c r="O285" i="21"/>
  <c r="N285" i="21"/>
  <c r="M285" i="21"/>
  <c r="L285" i="21"/>
  <c r="K285" i="21"/>
  <c r="J285" i="21"/>
  <c r="I285" i="21"/>
  <c r="H285" i="21"/>
  <c r="G285" i="21"/>
  <c r="Z284" i="21"/>
  <c r="Y284" i="21"/>
  <c r="X284" i="21"/>
  <c r="W284" i="21"/>
  <c r="V284" i="21"/>
  <c r="U284" i="21"/>
  <c r="T284" i="21"/>
  <c r="S284" i="21"/>
  <c r="R284" i="21"/>
  <c r="Q284" i="21"/>
  <c r="P284" i="21"/>
  <c r="O284" i="21"/>
  <c r="N284" i="21"/>
  <c r="M284" i="21"/>
  <c r="L284" i="21"/>
  <c r="K284" i="21"/>
  <c r="J284" i="21"/>
  <c r="I284" i="21"/>
  <c r="H284" i="21"/>
  <c r="G284" i="21"/>
  <c r="Z283" i="21"/>
  <c r="Y283" i="21"/>
  <c r="X283" i="21"/>
  <c r="W283" i="21"/>
  <c r="V283" i="21"/>
  <c r="U283" i="21"/>
  <c r="T283" i="21"/>
  <c r="S283" i="21"/>
  <c r="R283" i="21"/>
  <c r="Q283" i="21"/>
  <c r="P283" i="21"/>
  <c r="O283" i="21"/>
  <c r="N283" i="21"/>
  <c r="M283" i="21"/>
  <c r="L283" i="21"/>
  <c r="K283" i="21"/>
  <c r="J283" i="21"/>
  <c r="I283" i="21"/>
  <c r="H283" i="21"/>
  <c r="G283" i="21"/>
  <c r="Z282" i="21"/>
  <c r="Y282" i="21"/>
  <c r="X282" i="21"/>
  <c r="W282" i="21"/>
  <c r="V282" i="21"/>
  <c r="U282" i="21"/>
  <c r="T282" i="21"/>
  <c r="S282" i="21"/>
  <c r="R282" i="21"/>
  <c r="Q282" i="21"/>
  <c r="P282" i="21"/>
  <c r="O282" i="21"/>
  <c r="N282" i="21"/>
  <c r="M282" i="21"/>
  <c r="L282" i="21"/>
  <c r="K282" i="21"/>
  <c r="J282" i="21"/>
  <c r="I282" i="21"/>
  <c r="H282" i="21"/>
  <c r="G282" i="21"/>
  <c r="Z281" i="21"/>
  <c r="Y281" i="21"/>
  <c r="X281" i="21"/>
  <c r="W281" i="21"/>
  <c r="V281" i="21"/>
  <c r="U281" i="21"/>
  <c r="T281" i="21"/>
  <c r="S281" i="21"/>
  <c r="R281" i="21"/>
  <c r="Q281" i="21"/>
  <c r="P281" i="21"/>
  <c r="O281" i="21"/>
  <c r="N281" i="21"/>
  <c r="M281" i="21"/>
  <c r="L281" i="21"/>
  <c r="K281" i="21"/>
  <c r="J281" i="21"/>
  <c r="I281" i="21"/>
  <c r="H281" i="21"/>
  <c r="G281" i="21"/>
  <c r="Z280" i="21"/>
  <c r="Y280" i="21"/>
  <c r="X280" i="21"/>
  <c r="W280" i="21"/>
  <c r="V280" i="21"/>
  <c r="U280" i="21"/>
  <c r="T280" i="21"/>
  <c r="S280" i="21"/>
  <c r="R280" i="21"/>
  <c r="Q280" i="21"/>
  <c r="P280" i="21"/>
  <c r="O280" i="21"/>
  <c r="N280" i="21"/>
  <c r="M280" i="21"/>
  <c r="L280" i="21"/>
  <c r="K280" i="21"/>
  <c r="J280" i="21"/>
  <c r="I280" i="21"/>
  <c r="H280" i="21"/>
  <c r="G280" i="21"/>
  <c r="Z279" i="21"/>
  <c r="Y279" i="21"/>
  <c r="X279" i="21"/>
  <c r="W279" i="21"/>
  <c r="V279" i="21"/>
  <c r="U279" i="21"/>
  <c r="T279" i="21"/>
  <c r="S279" i="21"/>
  <c r="R279" i="21"/>
  <c r="Q279" i="21"/>
  <c r="P279" i="21"/>
  <c r="O279" i="21"/>
  <c r="N279" i="21"/>
  <c r="M279" i="21"/>
  <c r="L279" i="21"/>
  <c r="K279" i="21"/>
  <c r="J279" i="21"/>
  <c r="I279" i="21"/>
  <c r="H279" i="21"/>
  <c r="G279" i="21"/>
  <c r="Z278" i="21"/>
  <c r="Y278" i="21"/>
  <c r="X278" i="21"/>
  <c r="W278" i="21"/>
  <c r="V278" i="21"/>
  <c r="U278" i="21"/>
  <c r="T278" i="21"/>
  <c r="R278" i="21"/>
  <c r="Q278" i="21"/>
  <c r="P278" i="21"/>
  <c r="O278" i="21"/>
  <c r="N278" i="21"/>
  <c r="M278" i="21"/>
  <c r="L278" i="21"/>
  <c r="K278" i="21"/>
  <c r="J278" i="21"/>
  <c r="I278" i="21"/>
  <c r="H278" i="21"/>
  <c r="G278" i="21"/>
  <c r="H265" i="21"/>
  <c r="J265" i="21"/>
  <c r="L265" i="21"/>
  <c r="N265" i="21"/>
  <c r="P265" i="21"/>
  <c r="R265" i="21"/>
  <c r="T265" i="21"/>
  <c r="V265" i="21"/>
  <c r="X265" i="21"/>
  <c r="Z265" i="21"/>
  <c r="Z240" i="21"/>
  <c r="H240" i="21"/>
  <c r="J240" i="21"/>
  <c r="L240" i="21"/>
  <c r="N240" i="21"/>
  <c r="P240" i="21"/>
  <c r="R240" i="21"/>
  <c r="T240" i="21"/>
  <c r="V240" i="21"/>
  <c r="X240" i="21"/>
  <c r="O176" i="24"/>
  <c r="O191" i="24" s="1"/>
  <c r="L318" i="24" s="1"/>
  <c r="N32" i="28" s="1"/>
  <c r="N176" i="24"/>
  <c r="N191" i="24" s="1"/>
  <c r="L314" i="24" s="1"/>
  <c r="N31" i="28" s="1"/>
  <c r="V262" i="21"/>
  <c r="M176" i="24" s="1"/>
  <c r="M191" i="24" s="1"/>
  <c r="L310" i="24" s="1"/>
  <c r="N30" i="28" s="1"/>
  <c r="U262" i="21"/>
  <c r="L176" i="24"/>
  <c r="L191" i="24" s="1"/>
  <c r="L306" i="24" s="1"/>
  <c r="N29" i="28" s="1"/>
  <c r="R262" i="21"/>
  <c r="Q262" i="21"/>
  <c r="I176" i="24"/>
  <c r="I191" i="24" s="1"/>
  <c r="L294" i="24" s="1"/>
  <c r="N26" i="28" s="1"/>
  <c r="L262" i="21"/>
  <c r="H176" i="24" s="1"/>
  <c r="H191" i="24" s="1"/>
  <c r="L290" i="24" s="1"/>
  <c r="N25" i="28" s="1"/>
  <c r="K262" i="21"/>
  <c r="G176" i="24"/>
  <c r="G191" i="24" s="1"/>
  <c r="L286" i="24" s="1"/>
  <c r="N24" i="28" s="1"/>
  <c r="H262" i="21"/>
  <c r="F176" i="24" s="1"/>
  <c r="G262" i="21"/>
  <c r="Z261" i="21"/>
  <c r="Y261" i="21"/>
  <c r="X261" i="21"/>
  <c r="W261" i="21"/>
  <c r="V261" i="21"/>
  <c r="U261" i="21"/>
  <c r="T261" i="21"/>
  <c r="S261" i="21"/>
  <c r="R261" i="21"/>
  <c r="Q261" i="21"/>
  <c r="P261" i="21"/>
  <c r="O261" i="21"/>
  <c r="N261" i="21"/>
  <c r="M261" i="21"/>
  <c r="L261" i="21"/>
  <c r="K261" i="21"/>
  <c r="J261" i="21"/>
  <c r="I261" i="21"/>
  <c r="H261" i="21"/>
  <c r="G261" i="21"/>
  <c r="Z260" i="21"/>
  <c r="Y260" i="21"/>
  <c r="X260" i="21"/>
  <c r="W260" i="21"/>
  <c r="V260" i="21"/>
  <c r="U260" i="21"/>
  <c r="T260" i="21"/>
  <c r="S260" i="21"/>
  <c r="R260" i="21"/>
  <c r="Q260" i="21"/>
  <c r="P260" i="21"/>
  <c r="O260" i="21"/>
  <c r="N260" i="21"/>
  <c r="M260" i="21"/>
  <c r="L260" i="21"/>
  <c r="K260" i="21"/>
  <c r="J260" i="21"/>
  <c r="I260" i="21"/>
  <c r="H260" i="21"/>
  <c r="G260" i="21"/>
  <c r="Z259" i="21"/>
  <c r="Y259" i="21"/>
  <c r="X259" i="21"/>
  <c r="W259" i="21"/>
  <c r="V259" i="21"/>
  <c r="U259" i="21"/>
  <c r="T259" i="21"/>
  <c r="S259" i="21"/>
  <c r="R259" i="21"/>
  <c r="Q259" i="21"/>
  <c r="P259" i="21"/>
  <c r="O259" i="21"/>
  <c r="N259" i="21"/>
  <c r="M259" i="21"/>
  <c r="L259" i="21"/>
  <c r="K259" i="21"/>
  <c r="J259" i="21"/>
  <c r="I259" i="21"/>
  <c r="H259" i="21"/>
  <c r="G259" i="21"/>
  <c r="Z258" i="21"/>
  <c r="Z262" i="21" s="1"/>
  <c r="Y258" i="21"/>
  <c r="Y262" i="21" s="1"/>
  <c r="X258" i="21"/>
  <c r="X262" i="21" s="1"/>
  <c r="W258" i="21"/>
  <c r="W262" i="21" s="1"/>
  <c r="V258" i="21"/>
  <c r="U258" i="21"/>
  <c r="T258" i="21"/>
  <c r="T262" i="21" s="1"/>
  <c r="S258" i="21"/>
  <c r="S262" i="21" s="1"/>
  <c r="R258" i="21"/>
  <c r="Q258" i="21"/>
  <c r="P258" i="21"/>
  <c r="P262" i="21" s="1"/>
  <c r="J176" i="24" s="1"/>
  <c r="J191" i="24" s="1"/>
  <c r="L298" i="24" s="1"/>
  <c r="N27" i="28" s="1"/>
  <c r="O258" i="21"/>
  <c r="O262" i="21" s="1"/>
  <c r="N258" i="21"/>
  <c r="N262" i="21" s="1"/>
  <c r="M258" i="21"/>
  <c r="M262" i="21" s="1"/>
  <c r="L258" i="21"/>
  <c r="K258" i="21"/>
  <c r="J258" i="21"/>
  <c r="J262" i="21" s="1"/>
  <c r="I258" i="21"/>
  <c r="I262" i="21" s="1"/>
  <c r="H258" i="21"/>
  <c r="G258" i="21"/>
  <c r="Z257" i="21"/>
  <c r="Y257" i="21"/>
  <c r="X257" i="21"/>
  <c r="W257" i="21"/>
  <c r="V257" i="21"/>
  <c r="U257" i="21"/>
  <c r="T257" i="21"/>
  <c r="S257" i="21"/>
  <c r="R257" i="21"/>
  <c r="Q257" i="21"/>
  <c r="P257" i="21"/>
  <c r="O257" i="21"/>
  <c r="N257" i="21"/>
  <c r="M257" i="21"/>
  <c r="L257" i="21"/>
  <c r="K257" i="21"/>
  <c r="J257" i="21"/>
  <c r="I257" i="21"/>
  <c r="H257" i="21"/>
  <c r="G257" i="21"/>
  <c r="Z256" i="21"/>
  <c r="Y256" i="21"/>
  <c r="X256" i="21"/>
  <c r="W256" i="21"/>
  <c r="V256" i="21"/>
  <c r="U256" i="21"/>
  <c r="T256" i="21"/>
  <c r="S256" i="21"/>
  <c r="R256" i="21"/>
  <c r="Q256" i="21"/>
  <c r="P256" i="21"/>
  <c r="O256" i="21"/>
  <c r="N256" i="21"/>
  <c r="M256" i="21"/>
  <c r="L256" i="21"/>
  <c r="K256" i="21"/>
  <c r="J256" i="21"/>
  <c r="I256" i="21"/>
  <c r="H256" i="21"/>
  <c r="G256" i="21"/>
  <c r="Z255" i="21"/>
  <c r="Y255" i="21"/>
  <c r="X255" i="21"/>
  <c r="W255" i="21"/>
  <c r="V255" i="21"/>
  <c r="U255" i="21"/>
  <c r="T255" i="21"/>
  <c r="S255" i="21"/>
  <c r="R255" i="21"/>
  <c r="Q255" i="21"/>
  <c r="P255" i="21"/>
  <c r="O255" i="21"/>
  <c r="N255" i="21"/>
  <c r="M255" i="21"/>
  <c r="L255" i="21"/>
  <c r="K255" i="21"/>
  <c r="J255" i="21"/>
  <c r="I255" i="21"/>
  <c r="H255" i="21"/>
  <c r="G255" i="21"/>
  <c r="Z254" i="21"/>
  <c r="Y254" i="21"/>
  <c r="X254" i="21"/>
  <c r="W254" i="21"/>
  <c r="V254" i="21"/>
  <c r="U254" i="21"/>
  <c r="T254" i="21"/>
  <c r="S254" i="21"/>
  <c r="R254" i="21"/>
  <c r="Q254" i="21"/>
  <c r="P254" i="21"/>
  <c r="O254" i="21"/>
  <c r="N254" i="21"/>
  <c r="M254" i="21"/>
  <c r="L254" i="21"/>
  <c r="K254" i="21"/>
  <c r="J254" i="21"/>
  <c r="I254" i="21"/>
  <c r="H254" i="21"/>
  <c r="G254" i="21"/>
  <c r="Z253" i="21"/>
  <c r="Y253" i="21"/>
  <c r="X253" i="21"/>
  <c r="W253" i="21"/>
  <c r="V253" i="21"/>
  <c r="U253" i="21"/>
  <c r="T253" i="21"/>
  <c r="S253" i="21"/>
  <c r="S289" i="21" s="1"/>
  <c r="R253" i="21"/>
  <c r="Q253" i="21"/>
  <c r="P253" i="21"/>
  <c r="O253" i="21"/>
  <c r="N253" i="21"/>
  <c r="M253" i="21"/>
  <c r="L253" i="21"/>
  <c r="K253" i="21"/>
  <c r="J253" i="21"/>
  <c r="I253" i="21"/>
  <c r="H253" i="21"/>
  <c r="G253" i="21"/>
  <c r="Z237" i="21"/>
  <c r="O157" i="24" s="1"/>
  <c r="O173" i="24" s="1"/>
  <c r="K319" i="24" s="1"/>
  <c r="M47" i="28" s="1"/>
  <c r="Y237" i="21"/>
  <c r="X237" i="21"/>
  <c r="N157" i="24" s="1"/>
  <c r="W237" i="21"/>
  <c r="V237" i="21"/>
  <c r="M157" i="24" s="1"/>
  <c r="M173" i="24" s="1"/>
  <c r="K311" i="24" s="1"/>
  <c r="M45" i="28" s="1"/>
  <c r="U237" i="21"/>
  <c r="T237" i="21"/>
  <c r="L157" i="24" s="1"/>
  <c r="S237" i="21"/>
  <c r="R237" i="21"/>
  <c r="K157" i="24" s="1"/>
  <c r="Q237" i="21"/>
  <c r="P237" i="21"/>
  <c r="J157" i="24" s="1"/>
  <c r="J173" i="24" s="1"/>
  <c r="O237" i="21"/>
  <c r="N237" i="21"/>
  <c r="I157" i="24" s="1"/>
  <c r="I173" i="24" s="1"/>
  <c r="K295" i="24" s="1"/>
  <c r="M41" i="28" s="1"/>
  <c r="M237" i="21"/>
  <c r="L237" i="21"/>
  <c r="H157" i="24" s="1"/>
  <c r="K237" i="21"/>
  <c r="J237" i="21"/>
  <c r="G157" i="24" s="1"/>
  <c r="G173" i="24" s="1"/>
  <c r="I237" i="21"/>
  <c r="H237" i="21"/>
  <c r="F157" i="24" s="1"/>
  <c r="F173" i="24" s="1"/>
  <c r="G237" i="21"/>
  <c r="F237" i="21"/>
  <c r="E157" i="24" s="1"/>
  <c r="E237" i="21"/>
  <c r="D237" i="21"/>
  <c r="D157" i="24" s="1"/>
  <c r="D172" i="24" s="1"/>
  <c r="I274" i="24" s="1"/>
  <c r="K21" i="28" s="1"/>
  <c r="C237" i="21"/>
  <c r="Z236" i="21"/>
  <c r="Y236" i="21"/>
  <c r="X236" i="21"/>
  <c r="W236" i="21"/>
  <c r="V236" i="21"/>
  <c r="U236" i="21"/>
  <c r="T236" i="21"/>
  <c r="S236" i="21"/>
  <c r="R236" i="21"/>
  <c r="Q236" i="21"/>
  <c r="P236" i="21"/>
  <c r="O236" i="21"/>
  <c r="N236" i="21"/>
  <c r="M236" i="21"/>
  <c r="L236" i="21"/>
  <c r="K236" i="21"/>
  <c r="J236" i="21"/>
  <c r="I236" i="21"/>
  <c r="H236" i="21"/>
  <c r="G236" i="21"/>
  <c r="F236" i="21"/>
  <c r="E236" i="21"/>
  <c r="D236" i="21"/>
  <c r="C236" i="21"/>
  <c r="Z235" i="21"/>
  <c r="Y235" i="21"/>
  <c r="X235" i="21"/>
  <c r="W235" i="21"/>
  <c r="V235" i="21"/>
  <c r="U235" i="21"/>
  <c r="T235" i="21"/>
  <c r="S235" i="21"/>
  <c r="R235" i="21"/>
  <c r="Q235" i="21"/>
  <c r="P235" i="21"/>
  <c r="O235" i="21"/>
  <c r="N235" i="21"/>
  <c r="M235" i="21"/>
  <c r="L235" i="21"/>
  <c r="K235" i="21"/>
  <c r="J235" i="21"/>
  <c r="I235" i="21"/>
  <c r="H235" i="21"/>
  <c r="G235" i="21"/>
  <c r="F235" i="21"/>
  <c r="E235" i="21"/>
  <c r="D235" i="21"/>
  <c r="C235" i="21"/>
  <c r="Z234" i="21"/>
  <c r="Y234" i="21"/>
  <c r="X234" i="21"/>
  <c r="W234" i="21"/>
  <c r="V234" i="21"/>
  <c r="U234" i="21"/>
  <c r="T234" i="21"/>
  <c r="S234" i="21"/>
  <c r="R234" i="21"/>
  <c r="Q234" i="21"/>
  <c r="P234" i="21"/>
  <c r="O234" i="21"/>
  <c r="N234" i="21"/>
  <c r="M234" i="21"/>
  <c r="L234" i="21"/>
  <c r="K234" i="21"/>
  <c r="J234" i="21"/>
  <c r="I234" i="21"/>
  <c r="H234" i="21"/>
  <c r="G234" i="21"/>
  <c r="F234" i="21"/>
  <c r="E234" i="21"/>
  <c r="D234" i="21"/>
  <c r="C234" i="21"/>
  <c r="Z233" i="21"/>
  <c r="Y233" i="21"/>
  <c r="X233" i="21"/>
  <c r="W233" i="21"/>
  <c r="V233" i="21"/>
  <c r="U233" i="21"/>
  <c r="T233" i="21"/>
  <c r="S233" i="21"/>
  <c r="R233" i="21"/>
  <c r="Q233" i="21"/>
  <c r="P233" i="21"/>
  <c r="O233" i="21"/>
  <c r="N233" i="21"/>
  <c r="M233" i="21"/>
  <c r="L233" i="21"/>
  <c r="K233" i="21"/>
  <c r="J233" i="21"/>
  <c r="I233" i="21"/>
  <c r="H233" i="21"/>
  <c r="G233" i="21"/>
  <c r="F233" i="21"/>
  <c r="E233" i="21"/>
  <c r="D233" i="21"/>
  <c r="C233" i="21"/>
  <c r="Z232" i="21"/>
  <c r="Y232" i="21"/>
  <c r="X232" i="21"/>
  <c r="W232" i="21"/>
  <c r="V232" i="21"/>
  <c r="U232" i="21"/>
  <c r="T232" i="21"/>
  <c r="S232" i="21"/>
  <c r="R232" i="21"/>
  <c r="Q232" i="21"/>
  <c r="P232" i="21"/>
  <c r="O232" i="21"/>
  <c r="N232" i="21"/>
  <c r="M232" i="21"/>
  <c r="L232" i="21"/>
  <c r="K232" i="21"/>
  <c r="J232" i="21"/>
  <c r="I232" i="21"/>
  <c r="H232" i="21"/>
  <c r="G232" i="21"/>
  <c r="F232" i="21"/>
  <c r="E232" i="21"/>
  <c r="D232" i="21"/>
  <c r="C232" i="21"/>
  <c r="Z231" i="21"/>
  <c r="Y231" i="21"/>
  <c r="X231" i="21"/>
  <c r="W231" i="21"/>
  <c r="V231" i="21"/>
  <c r="U231" i="21"/>
  <c r="T231" i="21"/>
  <c r="S231" i="21"/>
  <c r="R231" i="21"/>
  <c r="Q231" i="21"/>
  <c r="P231" i="21"/>
  <c r="O231" i="21"/>
  <c r="N231" i="21"/>
  <c r="M231" i="21"/>
  <c r="L231" i="21"/>
  <c r="K231" i="21"/>
  <c r="J231" i="21"/>
  <c r="I231" i="21"/>
  <c r="H231" i="21"/>
  <c r="G231" i="21"/>
  <c r="F231" i="21"/>
  <c r="E231" i="21"/>
  <c r="D231" i="21"/>
  <c r="C231" i="21"/>
  <c r="Z230" i="21"/>
  <c r="Y230" i="21"/>
  <c r="X230" i="21"/>
  <c r="W230" i="21"/>
  <c r="V230" i="21"/>
  <c r="U230" i="21"/>
  <c r="T230" i="21"/>
  <c r="S230" i="21"/>
  <c r="R230" i="21"/>
  <c r="Q230" i="21"/>
  <c r="P230" i="21"/>
  <c r="O230" i="21"/>
  <c r="N230" i="21"/>
  <c r="M230" i="21"/>
  <c r="L230" i="21"/>
  <c r="K230" i="21"/>
  <c r="J230" i="21"/>
  <c r="I230" i="21"/>
  <c r="H230" i="21"/>
  <c r="G230" i="21"/>
  <c r="F230" i="21"/>
  <c r="E230" i="21"/>
  <c r="D230" i="21"/>
  <c r="C230" i="21"/>
  <c r="Z229" i="21"/>
  <c r="Y229" i="21"/>
  <c r="X229" i="21"/>
  <c r="W229" i="21"/>
  <c r="V229" i="21"/>
  <c r="U229" i="21"/>
  <c r="T229" i="21"/>
  <c r="S229" i="21"/>
  <c r="R229" i="21"/>
  <c r="Q229" i="21"/>
  <c r="P229" i="21"/>
  <c r="O229" i="21"/>
  <c r="N229" i="21"/>
  <c r="M229" i="21"/>
  <c r="L229" i="21"/>
  <c r="K229" i="21"/>
  <c r="J229" i="21"/>
  <c r="I229" i="21"/>
  <c r="H229" i="21"/>
  <c r="G229" i="21"/>
  <c r="F229" i="21"/>
  <c r="E229" i="21"/>
  <c r="D229" i="21"/>
  <c r="C229" i="21"/>
  <c r="Z228" i="21"/>
  <c r="Y228" i="21"/>
  <c r="X228" i="21"/>
  <c r="W228" i="21"/>
  <c r="V228" i="21"/>
  <c r="U228" i="21"/>
  <c r="T228" i="21"/>
  <c r="S228" i="21"/>
  <c r="R228" i="21"/>
  <c r="Q228" i="21"/>
  <c r="P228" i="21"/>
  <c r="O228" i="21"/>
  <c r="N228" i="21"/>
  <c r="M228" i="21"/>
  <c r="L228" i="21"/>
  <c r="K228" i="21"/>
  <c r="J228" i="21"/>
  <c r="I228" i="21"/>
  <c r="H228" i="21"/>
  <c r="G228" i="21"/>
  <c r="F228" i="21"/>
  <c r="E228" i="21"/>
  <c r="D228" i="21"/>
  <c r="C228" i="21"/>
  <c r="E84" i="14"/>
  <c r="I176" i="22" s="1"/>
  <c r="F84" i="14"/>
  <c r="K176" i="22" s="1"/>
  <c r="G84" i="14"/>
  <c r="M176" i="22" s="1"/>
  <c r="H84" i="14"/>
  <c r="O176" i="22" s="1"/>
  <c r="I84" i="14"/>
  <c r="Q176" i="22" s="1"/>
  <c r="J84" i="14"/>
  <c r="S176" i="22" s="1"/>
  <c r="K84" i="14"/>
  <c r="U176" i="22" s="1"/>
  <c r="L84" i="14"/>
  <c r="W176" i="22" s="1"/>
  <c r="M84" i="14"/>
  <c r="Y176" i="22" s="1"/>
  <c r="E86" i="14"/>
  <c r="F86" i="14"/>
  <c r="G86" i="14"/>
  <c r="H86" i="14"/>
  <c r="I86" i="14"/>
  <c r="J86" i="14"/>
  <c r="K86" i="14"/>
  <c r="L86" i="14"/>
  <c r="M86" i="14"/>
  <c r="E87" i="14"/>
  <c r="F87" i="14"/>
  <c r="G87" i="14"/>
  <c r="H87" i="14"/>
  <c r="I87" i="14"/>
  <c r="J87" i="14"/>
  <c r="K87" i="14"/>
  <c r="L87" i="14"/>
  <c r="M87" i="14"/>
  <c r="D86" i="14"/>
  <c r="D87" i="14"/>
  <c r="D84" i="14"/>
  <c r="G176" i="22" s="1"/>
  <c r="D283" i="24" l="1"/>
  <c r="F38" i="28" s="1"/>
  <c r="H173" i="24"/>
  <c r="K291" i="24" s="1"/>
  <c r="M40" i="28" s="1"/>
  <c r="R298" i="20"/>
  <c r="K194" i="24" s="1"/>
  <c r="K211" i="24" s="1"/>
  <c r="M303" i="24" s="1"/>
  <c r="O43" i="28" s="1"/>
  <c r="M178" i="22"/>
  <c r="M125" i="22"/>
  <c r="F61" i="24"/>
  <c r="F78" i="24" s="1"/>
  <c r="N62" i="24"/>
  <c r="N77" i="24" s="1"/>
  <c r="Y178" i="22"/>
  <c r="Y125" i="22"/>
  <c r="U178" i="22"/>
  <c r="U125" i="22"/>
  <c r="O178" i="22"/>
  <c r="O125" i="22"/>
  <c r="G178" i="22"/>
  <c r="G125" i="22"/>
  <c r="Y179" i="22"/>
  <c r="Y151" i="22"/>
  <c r="Z151" i="22" s="1"/>
  <c r="K178" i="22"/>
  <c r="K125" i="22"/>
  <c r="Q298" i="20"/>
  <c r="U298" i="20"/>
  <c r="W179" i="22"/>
  <c r="W151" i="22"/>
  <c r="X151" i="22" s="1"/>
  <c r="U151" i="22"/>
  <c r="V151" i="22" s="1"/>
  <c r="U179" i="22"/>
  <c r="I151" i="22"/>
  <c r="J151" i="22" s="1"/>
  <c r="I179" i="22"/>
  <c r="L298" i="20"/>
  <c r="H194" i="24" s="1"/>
  <c r="H211" i="24" s="1"/>
  <c r="M291" i="24" s="1"/>
  <c r="O40" i="28" s="1"/>
  <c r="Q178" i="22"/>
  <c r="Q125" i="22"/>
  <c r="G179" i="22"/>
  <c r="G151" i="22"/>
  <c r="H151" i="22" s="1"/>
  <c r="I178" i="22"/>
  <c r="I125" i="22"/>
  <c r="S179" i="22"/>
  <c r="S151" i="22"/>
  <c r="T151" i="22" s="1"/>
  <c r="Q179" i="22"/>
  <c r="Q151" i="22"/>
  <c r="R151" i="22" s="1"/>
  <c r="O151" i="22"/>
  <c r="P151" i="22" s="1"/>
  <c r="O179" i="22"/>
  <c r="P299" i="24"/>
  <c r="R42" i="28" s="1"/>
  <c r="L229" i="24"/>
  <c r="P297" i="24" s="1"/>
  <c r="R12" i="28" s="1"/>
  <c r="K298" i="20"/>
  <c r="W178" i="22"/>
  <c r="W125" i="22"/>
  <c r="S178" i="22"/>
  <c r="S125" i="22"/>
  <c r="M151" i="22"/>
  <c r="N151" i="22" s="1"/>
  <c r="M179" i="22"/>
  <c r="E172" i="24"/>
  <c r="I278" i="24" s="1"/>
  <c r="K22" i="28" s="1"/>
  <c r="G298" i="20"/>
  <c r="K151" i="22"/>
  <c r="L151" i="22" s="1"/>
  <c r="K179" i="22"/>
  <c r="L302" i="24"/>
  <c r="N28" i="28" s="1"/>
  <c r="K177" i="24"/>
  <c r="K190" i="24" s="1"/>
  <c r="L301" i="24" s="1"/>
  <c r="N13" i="28" s="1"/>
  <c r="P306" i="24"/>
  <c r="R29" i="28" s="1"/>
  <c r="M229" i="24"/>
  <c r="P305" i="24" s="1"/>
  <c r="R14" i="28" s="1"/>
  <c r="H298" i="20"/>
  <c r="F194" i="24" s="1"/>
  <c r="F211" i="24" s="1"/>
  <c r="M283" i="24" s="1"/>
  <c r="O38" i="28" s="1"/>
  <c r="K302" i="24"/>
  <c r="M28" i="28" s="1"/>
  <c r="K173" i="24"/>
  <c r="K303" i="24" s="1"/>
  <c r="M43" i="28" s="1"/>
  <c r="P318" i="24"/>
  <c r="R32" i="28" s="1"/>
  <c r="F53" i="24"/>
  <c r="F59" i="24" s="1"/>
  <c r="F56" i="24"/>
  <c r="H53" i="24"/>
  <c r="H59" i="24" s="1"/>
  <c r="G40" i="28" s="1"/>
  <c r="H56" i="24"/>
  <c r="L53" i="24"/>
  <c r="L59" i="24" s="1"/>
  <c r="G44" i="28" s="1"/>
  <c r="L56" i="24"/>
  <c r="N53" i="24"/>
  <c r="N59" i="24" s="1"/>
  <c r="G46" i="28" s="1"/>
  <c r="N56" i="24"/>
  <c r="D78" i="24"/>
  <c r="H36" i="28" s="1"/>
  <c r="K282" i="24"/>
  <c r="M23" i="28" s="1"/>
  <c r="K283" i="24"/>
  <c r="M38" i="28" s="1"/>
  <c r="K298" i="24"/>
  <c r="M27" i="28" s="1"/>
  <c r="K299" i="24"/>
  <c r="M42" i="28" s="1"/>
  <c r="K306" i="24"/>
  <c r="M29" i="28" s="1"/>
  <c r="L173" i="24"/>
  <c r="K307" i="24" s="1"/>
  <c r="M44" i="28" s="1"/>
  <c r="K314" i="24"/>
  <c r="M31" i="28" s="1"/>
  <c r="N173" i="24"/>
  <c r="K315" i="24" s="1"/>
  <c r="M46" i="28" s="1"/>
  <c r="F191" i="24"/>
  <c r="L282" i="24" s="1"/>
  <c r="N23" i="28" s="1"/>
  <c r="K286" i="24"/>
  <c r="M24" i="28" s="1"/>
  <c r="K287" i="24"/>
  <c r="M39" i="28" s="1"/>
  <c r="D53" i="24"/>
  <c r="D59" i="24" s="1"/>
  <c r="G36" i="28" s="1"/>
  <c r="D56" i="24"/>
  <c r="J53" i="24"/>
  <c r="J59" i="24" s="1"/>
  <c r="G42" i="28" s="1"/>
  <c r="J56" i="24"/>
  <c r="E53" i="24"/>
  <c r="E59" i="24" s="1"/>
  <c r="G37" i="28" s="1"/>
  <c r="E56" i="24"/>
  <c r="G53" i="24"/>
  <c r="G59" i="24" s="1"/>
  <c r="G39" i="28" s="1"/>
  <c r="G56" i="24"/>
  <c r="I53" i="24"/>
  <c r="I59" i="24" s="1"/>
  <c r="G41" i="28" s="1"/>
  <c r="I56" i="24"/>
  <c r="K53" i="24"/>
  <c r="K59" i="24" s="1"/>
  <c r="G43" i="28" s="1"/>
  <c r="K56" i="24"/>
  <c r="M53" i="24"/>
  <c r="M59" i="24" s="1"/>
  <c r="G45" i="28" s="1"/>
  <c r="M56" i="24"/>
  <c r="O53" i="24"/>
  <c r="O59" i="24" s="1"/>
  <c r="G47" i="28" s="1"/>
  <c r="O56" i="24"/>
  <c r="E78" i="24"/>
  <c r="H37" i="28" s="1"/>
  <c r="G78" i="24"/>
  <c r="H39" i="28" s="1"/>
  <c r="E25" i="24"/>
  <c r="E31" i="24" s="1"/>
  <c r="F37" i="28" s="1"/>
  <c r="E28" i="24"/>
  <c r="G25" i="24"/>
  <c r="G31" i="24" s="1"/>
  <c r="F39" i="28" s="1"/>
  <c r="G28" i="24"/>
  <c r="I25" i="24"/>
  <c r="I31" i="24" s="1"/>
  <c r="F41" i="28" s="1"/>
  <c r="I28" i="24"/>
  <c r="K25" i="24"/>
  <c r="K31" i="24" s="1"/>
  <c r="F43" i="28" s="1"/>
  <c r="K28" i="24"/>
  <c r="M25" i="24"/>
  <c r="M31" i="24" s="1"/>
  <c r="F45" i="28" s="1"/>
  <c r="M28" i="24"/>
  <c r="O25" i="24"/>
  <c r="O31" i="24" s="1"/>
  <c r="F47" i="28" s="1"/>
  <c r="O28" i="24"/>
  <c r="D28" i="24"/>
  <c r="F28" i="24"/>
  <c r="H25" i="24"/>
  <c r="H31" i="24" s="1"/>
  <c r="F40" i="28" s="1"/>
  <c r="H28" i="24"/>
  <c r="J25" i="24"/>
  <c r="J31" i="24" s="1"/>
  <c r="F42" i="28" s="1"/>
  <c r="J28" i="24"/>
  <c r="L25" i="24"/>
  <c r="L31" i="24" s="1"/>
  <c r="F44" i="28" s="1"/>
  <c r="L28" i="24"/>
  <c r="N25" i="24"/>
  <c r="N31" i="24" s="1"/>
  <c r="F46" i="28" s="1"/>
  <c r="N28" i="24"/>
  <c r="D297" i="24"/>
  <c r="F12" i="28" s="1"/>
  <c r="D293" i="24"/>
  <c r="F11" i="28" s="1"/>
  <c r="D317" i="24"/>
  <c r="F17" i="28" s="1"/>
  <c r="D289" i="24"/>
  <c r="F10" i="28" s="1"/>
  <c r="D305" i="24"/>
  <c r="F14" i="28" s="1"/>
  <c r="D313" i="24"/>
  <c r="F16" i="28" s="1"/>
  <c r="Q290" i="21"/>
  <c r="M291" i="21"/>
  <c r="U291" i="21"/>
  <c r="I293" i="21"/>
  <c r="Q295" i="21"/>
  <c r="Y295" i="21"/>
  <c r="Y296" i="21"/>
  <c r="U297" i="21"/>
  <c r="Z290" i="21"/>
  <c r="N294" i="21"/>
  <c r="N298" i="21" s="1"/>
  <c r="N296" i="21"/>
  <c r="V296" i="21"/>
  <c r="G195" i="24"/>
  <c r="G210" i="24" s="1"/>
  <c r="M286" i="24" s="1"/>
  <c r="O24" i="28" s="1"/>
  <c r="J292" i="21"/>
  <c r="G289" i="21"/>
  <c r="K289" i="21"/>
  <c r="O289" i="21"/>
  <c r="W289" i="21"/>
  <c r="G290" i="21"/>
  <c r="O290" i="21"/>
  <c r="W290" i="21"/>
  <c r="K291" i="21"/>
  <c r="S291" i="21"/>
  <c r="G292" i="21"/>
  <c r="K292" i="21"/>
  <c r="O292" i="21"/>
  <c r="S292" i="21"/>
  <c r="W292" i="21"/>
  <c r="G293" i="21"/>
  <c r="K293" i="21"/>
  <c r="O293" i="21"/>
  <c r="S293" i="21"/>
  <c r="W293" i="21"/>
  <c r="K294" i="21"/>
  <c r="S294" i="21"/>
  <c r="S298" i="21" s="1"/>
  <c r="G295" i="21"/>
  <c r="O295" i="21"/>
  <c r="W295" i="21"/>
  <c r="G296" i="21"/>
  <c r="K296" i="21"/>
  <c r="O296" i="21"/>
  <c r="S296" i="21"/>
  <c r="W296" i="21"/>
  <c r="G297" i="21"/>
  <c r="K297" i="21"/>
  <c r="O297" i="21"/>
  <c r="S297" i="21"/>
  <c r="W297" i="21"/>
  <c r="Y290" i="21"/>
  <c r="U292" i="21"/>
  <c r="Q293" i="21"/>
  <c r="M289" i="21"/>
  <c r="K290" i="21"/>
  <c r="S290" i="21"/>
  <c r="G291" i="21"/>
  <c r="O291" i="21"/>
  <c r="W291" i="21"/>
  <c r="G294" i="21"/>
  <c r="O294" i="21"/>
  <c r="O298" i="21" s="1"/>
  <c r="W294" i="21"/>
  <c r="W298" i="21" s="1"/>
  <c r="K295" i="21"/>
  <c r="S295" i="21"/>
  <c r="L289" i="21"/>
  <c r="T289" i="21"/>
  <c r="H290" i="21"/>
  <c r="P290" i="21"/>
  <c r="X292" i="21"/>
  <c r="H294" i="21"/>
  <c r="P294" i="21"/>
  <c r="P298" i="21" s="1"/>
  <c r="L296" i="21"/>
  <c r="T296" i="21"/>
  <c r="H289" i="21"/>
  <c r="P289" i="21"/>
  <c r="X289" i="21"/>
  <c r="L290" i="21"/>
  <c r="T290" i="21"/>
  <c r="L291" i="21"/>
  <c r="T291" i="21"/>
  <c r="L292" i="21"/>
  <c r="T292" i="21"/>
  <c r="H293" i="21"/>
  <c r="P293" i="21"/>
  <c r="X293" i="21"/>
  <c r="X294" i="21"/>
  <c r="X298" i="21" s="1"/>
  <c r="N195" i="24" s="1"/>
  <c r="N210" i="24" s="1"/>
  <c r="M314" i="24" s="1"/>
  <c r="O31" i="28" s="1"/>
  <c r="H295" i="21"/>
  <c r="P295" i="21"/>
  <c r="X295" i="21"/>
  <c r="H296" i="21"/>
  <c r="P296" i="21"/>
  <c r="H297" i="21"/>
  <c r="P297" i="21"/>
  <c r="T297" i="21"/>
  <c r="L195" i="24"/>
  <c r="L210" i="24" s="1"/>
  <c r="M306" i="24" s="1"/>
  <c r="O29" i="28" s="1"/>
  <c r="I290" i="21"/>
  <c r="Y293" i="21"/>
  <c r="M294" i="21"/>
  <c r="M298" i="21" s="1"/>
  <c r="I295" i="21"/>
  <c r="Q296" i="21"/>
  <c r="M297" i="21"/>
  <c r="J289" i="21"/>
  <c r="J290" i="21"/>
  <c r="R290" i="21"/>
  <c r="R292" i="21"/>
  <c r="Z292" i="21"/>
  <c r="V294" i="21"/>
  <c r="X290" i="21"/>
  <c r="H291" i="21"/>
  <c r="P291" i="21"/>
  <c r="X291" i="21"/>
  <c r="H292" i="21"/>
  <c r="P292" i="21"/>
  <c r="L293" i="21"/>
  <c r="T293" i="21"/>
  <c r="L294" i="21"/>
  <c r="T294" i="21"/>
  <c r="T298" i="21" s="1"/>
  <c r="L295" i="21"/>
  <c r="T295" i="21"/>
  <c r="X296" i="21"/>
  <c r="L297" i="21"/>
  <c r="X297" i="21"/>
  <c r="J195" i="24"/>
  <c r="J210" i="24" s="1"/>
  <c r="M298" i="24" s="1"/>
  <c r="O27" i="28" s="1"/>
  <c r="I289" i="21"/>
  <c r="U289" i="21"/>
  <c r="M292" i="21"/>
  <c r="U294" i="21"/>
  <c r="I296" i="21"/>
  <c r="Q289" i="21"/>
  <c r="Y289" i="21"/>
  <c r="M290" i="21"/>
  <c r="U290" i="21"/>
  <c r="I291" i="21"/>
  <c r="Q291" i="21"/>
  <c r="Y291" i="21"/>
  <c r="I292" i="21"/>
  <c r="Q292" i="21"/>
  <c r="Y292" i="21"/>
  <c r="M293" i="21"/>
  <c r="U293" i="21"/>
  <c r="I294" i="21"/>
  <c r="I298" i="21" s="1"/>
  <c r="Q294" i="21"/>
  <c r="Y294" i="21"/>
  <c r="Y298" i="21" s="1"/>
  <c r="M295" i="21"/>
  <c r="U295" i="21"/>
  <c r="M296" i="21"/>
  <c r="U296" i="21"/>
  <c r="I297" i="21"/>
  <c r="Q297" i="21"/>
  <c r="Y297" i="21"/>
  <c r="N289" i="21"/>
  <c r="R289" i="21"/>
  <c r="V289" i="21"/>
  <c r="Z289" i="21"/>
  <c r="N290" i="21"/>
  <c r="V290" i="21"/>
  <c r="J291" i="21"/>
  <c r="N291" i="21"/>
  <c r="R291" i="21"/>
  <c r="V291" i="21"/>
  <c r="Z291" i="21"/>
  <c r="N292" i="21"/>
  <c r="V292" i="21"/>
  <c r="J293" i="21"/>
  <c r="N293" i="21"/>
  <c r="R293" i="21"/>
  <c r="V293" i="21"/>
  <c r="Z293" i="21"/>
  <c r="J294" i="21"/>
  <c r="J298" i="21" s="1"/>
  <c r="R294" i="21"/>
  <c r="Z294" i="21"/>
  <c r="Z298" i="21" s="1"/>
  <c r="O195" i="24" s="1"/>
  <c r="O210" i="24" s="1"/>
  <c r="M318" i="24" s="1"/>
  <c r="O32" i="28" s="1"/>
  <c r="J295" i="21"/>
  <c r="N295" i="21"/>
  <c r="R295" i="21"/>
  <c r="V295" i="21"/>
  <c r="Z295" i="21"/>
  <c r="J296" i="21"/>
  <c r="R296" i="21"/>
  <c r="Z296" i="21"/>
  <c r="J297" i="21"/>
  <c r="N297" i="21"/>
  <c r="R297" i="21"/>
  <c r="V297" i="21"/>
  <c r="Z297" i="21"/>
  <c r="I195" i="24"/>
  <c r="I210" i="24" s="1"/>
  <c r="M294" i="24" s="1"/>
  <c r="O26" i="28" s="1"/>
  <c r="B85" i="14"/>
  <c r="C124" i="22" s="1"/>
  <c r="C85" i="14"/>
  <c r="E124" i="22" s="1"/>
  <c r="B86" i="14"/>
  <c r="C125" i="22" s="1"/>
  <c r="C86" i="14"/>
  <c r="E125" i="22" s="1"/>
  <c r="B87" i="14"/>
  <c r="C126" i="22" s="1"/>
  <c r="C87" i="14"/>
  <c r="E126" i="22" s="1"/>
  <c r="C84" i="14"/>
  <c r="B84" i="14"/>
  <c r="Z201" i="21"/>
  <c r="Y201" i="21"/>
  <c r="X201" i="21"/>
  <c r="W201" i="21"/>
  <c r="V201" i="21"/>
  <c r="U201" i="21"/>
  <c r="T201" i="21"/>
  <c r="S201" i="21"/>
  <c r="R201" i="21"/>
  <c r="Q201" i="21"/>
  <c r="P201" i="21"/>
  <c r="O201" i="21"/>
  <c r="N201" i="21"/>
  <c r="M201" i="21"/>
  <c r="L201" i="21"/>
  <c r="K201" i="21"/>
  <c r="J201" i="21"/>
  <c r="I201" i="21"/>
  <c r="H201" i="21"/>
  <c r="G201" i="21"/>
  <c r="Z200" i="21"/>
  <c r="Y200" i="21"/>
  <c r="X200" i="21"/>
  <c r="W200" i="21"/>
  <c r="V200" i="21"/>
  <c r="U200" i="21"/>
  <c r="T200" i="21"/>
  <c r="S200" i="21"/>
  <c r="R200" i="21"/>
  <c r="Q200" i="21"/>
  <c r="P200" i="21"/>
  <c r="O200" i="21"/>
  <c r="N200" i="21"/>
  <c r="M200" i="21"/>
  <c r="L200" i="21"/>
  <c r="K200" i="21"/>
  <c r="J200" i="21"/>
  <c r="I200" i="21"/>
  <c r="H200" i="21"/>
  <c r="G200" i="21"/>
  <c r="Z199" i="21"/>
  <c r="Y199" i="21"/>
  <c r="X199" i="21"/>
  <c r="W199" i="21"/>
  <c r="V199" i="21"/>
  <c r="U199" i="21"/>
  <c r="T199" i="21"/>
  <c r="S199" i="21"/>
  <c r="R199" i="21"/>
  <c r="Q199" i="21"/>
  <c r="P199" i="21"/>
  <c r="O199" i="21"/>
  <c r="N199" i="21"/>
  <c r="M199" i="21"/>
  <c r="L199" i="21"/>
  <c r="K199" i="21"/>
  <c r="J199" i="21"/>
  <c r="I199" i="21"/>
  <c r="H199" i="21"/>
  <c r="G199" i="21"/>
  <c r="Z198" i="21"/>
  <c r="Y198" i="21"/>
  <c r="X198" i="21"/>
  <c r="W198" i="21"/>
  <c r="V198" i="21"/>
  <c r="U198" i="21"/>
  <c r="T198" i="21"/>
  <c r="S198" i="21"/>
  <c r="R198" i="21"/>
  <c r="Q198" i="21"/>
  <c r="P198" i="21"/>
  <c r="O198" i="21"/>
  <c r="N198" i="21"/>
  <c r="M198" i="21"/>
  <c r="L198" i="21"/>
  <c r="K198" i="21"/>
  <c r="J198" i="21"/>
  <c r="I198" i="21"/>
  <c r="H198" i="21"/>
  <c r="G198" i="21"/>
  <c r="Z197" i="21"/>
  <c r="Y197" i="21"/>
  <c r="X197" i="21"/>
  <c r="W197" i="21"/>
  <c r="V197" i="21"/>
  <c r="U197" i="21"/>
  <c r="T197" i="21"/>
  <c r="S197" i="21"/>
  <c r="R197" i="21"/>
  <c r="Q197" i="21"/>
  <c r="P197" i="21"/>
  <c r="O197" i="21"/>
  <c r="N197" i="21"/>
  <c r="M197" i="21"/>
  <c r="L197" i="21"/>
  <c r="K197" i="21"/>
  <c r="J197" i="21"/>
  <c r="I197" i="21"/>
  <c r="H197" i="21"/>
  <c r="G197" i="21"/>
  <c r="Z196" i="21"/>
  <c r="Y196" i="21"/>
  <c r="X196" i="21"/>
  <c r="W196" i="21"/>
  <c r="V196" i="21"/>
  <c r="U196" i="21"/>
  <c r="T196" i="21"/>
  <c r="S196" i="21"/>
  <c r="R196" i="21"/>
  <c r="Q196" i="21"/>
  <c r="P196" i="21"/>
  <c r="O196" i="21"/>
  <c r="N196" i="21"/>
  <c r="M196" i="21"/>
  <c r="L196" i="21"/>
  <c r="K196" i="21"/>
  <c r="J196" i="21"/>
  <c r="I196" i="21"/>
  <c r="H196" i="21"/>
  <c r="G196" i="21"/>
  <c r="Z195" i="21"/>
  <c r="Y195" i="21"/>
  <c r="X195" i="21"/>
  <c r="W195" i="21"/>
  <c r="V195" i="21"/>
  <c r="U195" i="21"/>
  <c r="T195" i="21"/>
  <c r="S195" i="21"/>
  <c r="R195" i="21"/>
  <c r="Q195" i="21"/>
  <c r="P195" i="21"/>
  <c r="O195" i="21"/>
  <c r="N195" i="21"/>
  <c r="M195" i="21"/>
  <c r="L195" i="21"/>
  <c r="K195" i="21"/>
  <c r="J195" i="21"/>
  <c r="I195" i="21"/>
  <c r="H195" i="21"/>
  <c r="G195" i="21"/>
  <c r="Z194" i="21"/>
  <c r="Y194" i="21"/>
  <c r="X194" i="21"/>
  <c r="W194" i="21"/>
  <c r="V194" i="21"/>
  <c r="U194" i="21"/>
  <c r="T194" i="21"/>
  <c r="S194" i="21"/>
  <c r="R194" i="21"/>
  <c r="Q194" i="21"/>
  <c r="P194" i="21"/>
  <c r="O194" i="21"/>
  <c r="N194" i="21"/>
  <c r="M194" i="21"/>
  <c r="L194" i="21"/>
  <c r="K194" i="21"/>
  <c r="J194" i="21"/>
  <c r="I194" i="21"/>
  <c r="H194" i="21"/>
  <c r="G194" i="21"/>
  <c r="Z193" i="21"/>
  <c r="Y193" i="21"/>
  <c r="X193" i="21"/>
  <c r="W193" i="21"/>
  <c r="V193" i="21"/>
  <c r="U193" i="21"/>
  <c r="T193" i="21"/>
  <c r="S193" i="21"/>
  <c r="R193" i="21"/>
  <c r="Q193" i="21"/>
  <c r="P193" i="21"/>
  <c r="O193" i="21"/>
  <c r="N193" i="21"/>
  <c r="M193" i="21"/>
  <c r="L193" i="21"/>
  <c r="K193" i="21"/>
  <c r="J193" i="21"/>
  <c r="I193" i="21"/>
  <c r="H193" i="21"/>
  <c r="G193" i="21"/>
  <c r="Z192" i="21"/>
  <c r="Y192" i="21"/>
  <c r="X192" i="21"/>
  <c r="W192" i="21"/>
  <c r="V192" i="21"/>
  <c r="U192" i="21"/>
  <c r="T192" i="21"/>
  <c r="S192" i="21"/>
  <c r="R192" i="21"/>
  <c r="Q192" i="21"/>
  <c r="P192" i="21"/>
  <c r="O192" i="21"/>
  <c r="N192" i="21"/>
  <c r="M192" i="21"/>
  <c r="L192" i="21"/>
  <c r="K192" i="21"/>
  <c r="J192" i="21"/>
  <c r="I192" i="21"/>
  <c r="H192" i="21"/>
  <c r="G192" i="21"/>
  <c r="B19" i="23"/>
  <c r="B17" i="23"/>
  <c r="B16" i="23"/>
  <c r="B15" i="23"/>
  <c r="B13" i="23"/>
  <c r="B12" i="23"/>
  <c r="B11" i="23"/>
  <c r="F32" i="27"/>
  <c r="C32" i="27"/>
  <c r="F283" i="24" l="1"/>
  <c r="H38" i="28" s="1"/>
  <c r="E283" i="24"/>
  <c r="G38" i="28" s="1"/>
  <c r="K298" i="21"/>
  <c r="Q298" i="21"/>
  <c r="U298" i="21"/>
  <c r="L298" i="21"/>
  <c r="H195" i="24" s="1"/>
  <c r="H210" i="24" s="1"/>
  <c r="M290" i="24" s="1"/>
  <c r="O25" i="28" s="1"/>
  <c r="G298" i="21"/>
  <c r="H298" i="21"/>
  <c r="F195" i="24" s="1"/>
  <c r="F210" i="24" s="1"/>
  <c r="M282" i="24" s="1"/>
  <c r="O23" i="28" s="1"/>
  <c r="V298" i="21"/>
  <c r="M195" i="24" s="1"/>
  <c r="M210" i="24" s="1"/>
  <c r="M310" i="24" s="1"/>
  <c r="O30" i="28" s="1"/>
  <c r="R298" i="21"/>
  <c r="K195" i="24" s="1"/>
  <c r="K210" i="24" s="1"/>
  <c r="M302" i="24" s="1"/>
  <c r="O28" i="28" s="1"/>
  <c r="P187" i="9" l="1"/>
  <c r="O187" i="9"/>
  <c r="N187" i="9"/>
  <c r="M187" i="9"/>
  <c r="L187" i="9"/>
  <c r="K187" i="9"/>
  <c r="J187" i="9"/>
  <c r="I187" i="9"/>
  <c r="H187" i="9"/>
  <c r="G187" i="9"/>
  <c r="P161" i="9"/>
  <c r="O161" i="9"/>
  <c r="N161" i="9"/>
  <c r="M161" i="9"/>
  <c r="L161" i="9"/>
  <c r="K161" i="9"/>
  <c r="J161" i="9"/>
  <c r="I161" i="9"/>
  <c r="H161" i="9"/>
  <c r="G161" i="9"/>
  <c r="P135" i="9"/>
  <c r="O135" i="9"/>
  <c r="N135" i="9"/>
  <c r="M135" i="9"/>
  <c r="L135" i="9"/>
  <c r="K135" i="9"/>
  <c r="J135" i="9"/>
  <c r="I135" i="9"/>
  <c r="H135" i="9"/>
  <c r="G135" i="9"/>
  <c r="I36" i="26" l="1"/>
  <c r="F36" i="26"/>
  <c r="C36" i="26"/>
  <c r="P176" i="21" l="1"/>
  <c r="R176" i="21"/>
  <c r="G177" i="21"/>
  <c r="I177" i="21"/>
  <c r="K177" i="21"/>
  <c r="M177" i="21"/>
  <c r="O177" i="21"/>
  <c r="Q177" i="21"/>
  <c r="S177" i="21"/>
  <c r="U177" i="21"/>
  <c r="W177" i="21"/>
  <c r="Y177" i="21"/>
  <c r="H178" i="21"/>
  <c r="J178" i="21"/>
  <c r="L178" i="21"/>
  <c r="N178" i="21"/>
  <c r="P178" i="21"/>
  <c r="R178" i="21"/>
  <c r="T178" i="21"/>
  <c r="V178" i="21"/>
  <c r="X178" i="21"/>
  <c r="Z178" i="21"/>
  <c r="G179" i="21"/>
  <c r="I179" i="21"/>
  <c r="K179" i="21"/>
  <c r="M179" i="21"/>
  <c r="O179" i="21"/>
  <c r="Q179" i="21"/>
  <c r="S179" i="21"/>
  <c r="U179" i="21"/>
  <c r="W179" i="21"/>
  <c r="Y179" i="21"/>
  <c r="Z173" i="21"/>
  <c r="O119" i="24" s="1"/>
  <c r="O134" i="24" s="1"/>
  <c r="I318" i="24" s="1"/>
  <c r="K32" i="28" s="1"/>
  <c r="Y173" i="21"/>
  <c r="X173" i="21"/>
  <c r="N119" i="24" s="1"/>
  <c r="N134" i="24" s="1"/>
  <c r="I314" i="24" s="1"/>
  <c r="K31" i="28" s="1"/>
  <c r="W173" i="21"/>
  <c r="V173" i="21"/>
  <c r="M119" i="24" s="1"/>
  <c r="M134" i="24" s="1"/>
  <c r="I310" i="24" s="1"/>
  <c r="K30" i="28" s="1"/>
  <c r="U173" i="21"/>
  <c r="T173" i="21"/>
  <c r="L119" i="24" s="1"/>
  <c r="L134" i="24" s="1"/>
  <c r="I306" i="24" s="1"/>
  <c r="K29" i="28" s="1"/>
  <c r="S173" i="21"/>
  <c r="R173" i="21"/>
  <c r="K119" i="24" s="1"/>
  <c r="K134" i="24" s="1"/>
  <c r="I302" i="24" s="1"/>
  <c r="K28" i="28" s="1"/>
  <c r="Q173" i="21"/>
  <c r="P173" i="21"/>
  <c r="J119" i="24" s="1"/>
  <c r="J134" i="24" s="1"/>
  <c r="I298" i="24" s="1"/>
  <c r="K27" i="28" s="1"/>
  <c r="O173" i="21"/>
  <c r="N173" i="21"/>
  <c r="I119" i="24" s="1"/>
  <c r="I134" i="24" s="1"/>
  <c r="I294" i="24" s="1"/>
  <c r="K26" i="28" s="1"/>
  <c r="M173" i="21"/>
  <c r="L173" i="21"/>
  <c r="H119" i="24" s="1"/>
  <c r="H134" i="24" s="1"/>
  <c r="I290" i="24" s="1"/>
  <c r="K25" i="28" s="1"/>
  <c r="K173" i="21"/>
  <c r="J173" i="21"/>
  <c r="G119" i="24" s="1"/>
  <c r="I173" i="21"/>
  <c r="H173" i="21"/>
  <c r="F119" i="24" s="1"/>
  <c r="F134" i="24" s="1"/>
  <c r="I282" i="24" s="1"/>
  <c r="K23" i="28" s="1"/>
  <c r="G173" i="21"/>
  <c r="Z172" i="21"/>
  <c r="Y172" i="21"/>
  <c r="X172" i="21"/>
  <c r="W172" i="21"/>
  <c r="V172" i="21"/>
  <c r="U172" i="21"/>
  <c r="T172" i="21"/>
  <c r="S172" i="21"/>
  <c r="R172" i="21"/>
  <c r="Q172" i="21"/>
  <c r="P172" i="21"/>
  <c r="O172" i="21"/>
  <c r="N172" i="21"/>
  <c r="M172" i="21"/>
  <c r="L172" i="21"/>
  <c r="K172" i="21"/>
  <c r="J172" i="21"/>
  <c r="I172" i="21"/>
  <c r="H172" i="21"/>
  <c r="G172" i="21"/>
  <c r="Z171" i="21"/>
  <c r="Y171" i="21"/>
  <c r="X171" i="21"/>
  <c r="W171" i="21"/>
  <c r="V171" i="21"/>
  <c r="U171" i="21"/>
  <c r="T171" i="21"/>
  <c r="S171" i="21"/>
  <c r="R171" i="21"/>
  <c r="Q171" i="21"/>
  <c r="P171" i="21"/>
  <c r="O171" i="21"/>
  <c r="N171" i="21"/>
  <c r="M171" i="21"/>
  <c r="L171" i="21"/>
  <c r="K171" i="21"/>
  <c r="J171" i="21"/>
  <c r="I171" i="21"/>
  <c r="H171" i="21"/>
  <c r="G171" i="21"/>
  <c r="Z170" i="21"/>
  <c r="Y170" i="21"/>
  <c r="X170" i="21"/>
  <c r="W170" i="21"/>
  <c r="V170" i="21"/>
  <c r="U170" i="21"/>
  <c r="T170" i="21"/>
  <c r="S170" i="21"/>
  <c r="R170" i="21"/>
  <c r="Q170" i="21"/>
  <c r="P170" i="21"/>
  <c r="O170" i="21"/>
  <c r="N170" i="21"/>
  <c r="M170" i="21"/>
  <c r="L170" i="21"/>
  <c r="K170" i="21"/>
  <c r="J170" i="21"/>
  <c r="I170" i="21"/>
  <c r="H170" i="21"/>
  <c r="G170" i="21"/>
  <c r="Z169" i="21"/>
  <c r="Y169" i="21"/>
  <c r="X169" i="21"/>
  <c r="W169" i="21"/>
  <c r="V169" i="21"/>
  <c r="U169" i="21"/>
  <c r="T169" i="21"/>
  <c r="S169" i="21"/>
  <c r="R169" i="21"/>
  <c r="Q169" i="21"/>
  <c r="P169" i="21"/>
  <c r="O169" i="21"/>
  <c r="N169" i="21"/>
  <c r="M169" i="21"/>
  <c r="L169" i="21"/>
  <c r="K169" i="21"/>
  <c r="J169" i="21"/>
  <c r="I169" i="21"/>
  <c r="H169" i="21"/>
  <c r="G169" i="21"/>
  <c r="Z168" i="21"/>
  <c r="Y168" i="21"/>
  <c r="X168" i="21"/>
  <c r="W168" i="21"/>
  <c r="V168" i="21"/>
  <c r="U168" i="21"/>
  <c r="T168" i="21"/>
  <c r="S168" i="21"/>
  <c r="R168" i="21"/>
  <c r="Q168" i="21"/>
  <c r="P168" i="21"/>
  <c r="O168" i="21"/>
  <c r="N168" i="21"/>
  <c r="M168" i="21"/>
  <c r="L168" i="21"/>
  <c r="K168" i="21"/>
  <c r="J168" i="21"/>
  <c r="I168" i="21"/>
  <c r="H168" i="21"/>
  <c r="G168" i="21"/>
  <c r="Z167" i="21"/>
  <c r="Y167" i="21"/>
  <c r="X167" i="21"/>
  <c r="W167" i="21"/>
  <c r="V167" i="21"/>
  <c r="U167" i="21"/>
  <c r="T167" i="21"/>
  <c r="S167" i="21"/>
  <c r="R167" i="21"/>
  <c r="Q167" i="21"/>
  <c r="P167" i="21"/>
  <c r="O167" i="21"/>
  <c r="N167" i="21"/>
  <c r="M167" i="21"/>
  <c r="L167" i="21"/>
  <c r="K167" i="21"/>
  <c r="J167" i="21"/>
  <c r="I167" i="21"/>
  <c r="H167" i="21"/>
  <c r="G167" i="21"/>
  <c r="Z166" i="21"/>
  <c r="Y166" i="21"/>
  <c r="X166" i="21"/>
  <c r="W166" i="21"/>
  <c r="V166" i="21"/>
  <c r="U166" i="21"/>
  <c r="T166" i="21"/>
  <c r="S166" i="21"/>
  <c r="R166" i="21"/>
  <c r="Q166" i="21"/>
  <c r="P166" i="21"/>
  <c r="O166" i="21"/>
  <c r="N166" i="21"/>
  <c r="M166" i="21"/>
  <c r="L166" i="21"/>
  <c r="K166" i="21"/>
  <c r="J166" i="21"/>
  <c r="I166" i="21"/>
  <c r="H166" i="21"/>
  <c r="G166" i="21"/>
  <c r="Z165" i="21"/>
  <c r="Y165" i="21"/>
  <c r="X165" i="21"/>
  <c r="W165" i="21"/>
  <c r="V165" i="21"/>
  <c r="U165" i="21"/>
  <c r="T165" i="21"/>
  <c r="S165" i="21"/>
  <c r="R165" i="21"/>
  <c r="Q165" i="21"/>
  <c r="P165" i="21"/>
  <c r="O165" i="21"/>
  <c r="N165" i="21"/>
  <c r="M165" i="21"/>
  <c r="L165" i="21"/>
  <c r="K165" i="21"/>
  <c r="J165" i="21"/>
  <c r="I165" i="21"/>
  <c r="H165" i="21"/>
  <c r="G165" i="21"/>
  <c r="Z164" i="21"/>
  <c r="Y164" i="21"/>
  <c r="X164" i="21"/>
  <c r="W164" i="21"/>
  <c r="V164" i="21"/>
  <c r="U164" i="21"/>
  <c r="T164" i="21"/>
  <c r="S164" i="21"/>
  <c r="R164" i="21"/>
  <c r="Q164" i="21"/>
  <c r="P164" i="21"/>
  <c r="O164" i="21"/>
  <c r="N164" i="21"/>
  <c r="M164" i="21"/>
  <c r="L164" i="21"/>
  <c r="K164" i="21"/>
  <c r="J164" i="21"/>
  <c r="I164" i="21"/>
  <c r="H164" i="21"/>
  <c r="G164" i="21"/>
  <c r="Z148" i="21"/>
  <c r="Y148" i="21"/>
  <c r="Y212" i="21" s="1"/>
  <c r="X148" i="21"/>
  <c r="W148" i="21"/>
  <c r="W212" i="21" s="1"/>
  <c r="V148" i="21"/>
  <c r="U148" i="21"/>
  <c r="T148" i="21"/>
  <c r="S148" i="21"/>
  <c r="R148" i="21"/>
  <c r="Q148" i="21"/>
  <c r="P148" i="21"/>
  <c r="O148" i="21"/>
  <c r="O212" i="21" s="1"/>
  <c r="N148" i="21"/>
  <c r="M148" i="21"/>
  <c r="M212" i="21" s="1"/>
  <c r="L148" i="21"/>
  <c r="K148" i="21"/>
  <c r="K212" i="21" s="1"/>
  <c r="J148" i="21"/>
  <c r="I148" i="21"/>
  <c r="I212" i="21" s="1"/>
  <c r="H148" i="21"/>
  <c r="G148" i="21"/>
  <c r="G212" i="21" s="1"/>
  <c r="F148" i="21"/>
  <c r="E148" i="21"/>
  <c r="D148" i="21"/>
  <c r="D99" i="24" s="1"/>
  <c r="D116" i="24" s="1"/>
  <c r="H275" i="24" s="1"/>
  <c r="J36" i="28" s="1"/>
  <c r="C148" i="21"/>
  <c r="Z147" i="21"/>
  <c r="Z211" i="21" s="1"/>
  <c r="Y147" i="21"/>
  <c r="X147" i="21"/>
  <c r="W147" i="21"/>
  <c r="V147" i="21"/>
  <c r="V211" i="21" s="1"/>
  <c r="U147" i="21"/>
  <c r="U211" i="21" s="1"/>
  <c r="T147" i="21"/>
  <c r="T211" i="21" s="1"/>
  <c r="S147" i="21"/>
  <c r="S211" i="21" s="1"/>
  <c r="R147" i="21"/>
  <c r="R211" i="21" s="1"/>
  <c r="Q147" i="21"/>
  <c r="Q211" i="21" s="1"/>
  <c r="P147" i="21"/>
  <c r="P211" i="21" s="1"/>
  <c r="O147" i="21"/>
  <c r="O211" i="21" s="1"/>
  <c r="N147" i="21"/>
  <c r="N211" i="21" s="1"/>
  <c r="M147" i="21"/>
  <c r="M211" i="21" s="1"/>
  <c r="L147" i="21"/>
  <c r="K147" i="21"/>
  <c r="J147" i="21"/>
  <c r="J211" i="21" s="1"/>
  <c r="I147" i="21"/>
  <c r="H147" i="21"/>
  <c r="G147" i="21"/>
  <c r="F147" i="21"/>
  <c r="E147" i="21"/>
  <c r="D147" i="21"/>
  <c r="C147" i="21"/>
  <c r="Z146" i="21"/>
  <c r="Z210" i="21" s="1"/>
  <c r="Y146" i="21"/>
  <c r="Y210" i="21" s="1"/>
  <c r="X146" i="21"/>
  <c r="X210" i="21" s="1"/>
  <c r="W146" i="21"/>
  <c r="W210" i="21" s="1"/>
  <c r="V146" i="21"/>
  <c r="V210" i="21" s="1"/>
  <c r="U146" i="21"/>
  <c r="U210" i="21" s="1"/>
  <c r="T146" i="21"/>
  <c r="T210" i="21" s="1"/>
  <c r="S146" i="21"/>
  <c r="S210" i="21" s="1"/>
  <c r="R146" i="21"/>
  <c r="R210" i="21" s="1"/>
  <c r="Q146" i="21"/>
  <c r="Q210" i="21" s="1"/>
  <c r="P146" i="21"/>
  <c r="P210" i="21" s="1"/>
  <c r="O146" i="21"/>
  <c r="O210" i="21" s="1"/>
  <c r="N146" i="21"/>
  <c r="N210" i="21" s="1"/>
  <c r="M146" i="21"/>
  <c r="M210" i="21" s="1"/>
  <c r="L146" i="21"/>
  <c r="L210" i="21" s="1"/>
  <c r="K146" i="21"/>
  <c r="K210" i="21" s="1"/>
  <c r="J146" i="21"/>
  <c r="J210" i="21" s="1"/>
  <c r="I146" i="21"/>
  <c r="I210" i="21" s="1"/>
  <c r="H146" i="21"/>
  <c r="H210" i="21" s="1"/>
  <c r="G146" i="21"/>
  <c r="G210" i="21" s="1"/>
  <c r="F146" i="21"/>
  <c r="E146" i="21"/>
  <c r="D146" i="21"/>
  <c r="C146" i="21"/>
  <c r="Z145" i="21"/>
  <c r="Z209" i="21" s="1"/>
  <c r="Y145" i="21"/>
  <c r="Y209" i="21" s="1"/>
  <c r="X145" i="21"/>
  <c r="X209" i="21" s="1"/>
  <c r="W145" i="21"/>
  <c r="W209" i="21" s="1"/>
  <c r="V145" i="21"/>
  <c r="V209" i="21" s="1"/>
  <c r="U145" i="21"/>
  <c r="U209" i="21" s="1"/>
  <c r="T145" i="21"/>
  <c r="T209" i="21" s="1"/>
  <c r="S145" i="21"/>
  <c r="S209" i="21" s="1"/>
  <c r="R145" i="21"/>
  <c r="R209" i="21" s="1"/>
  <c r="Q145" i="21"/>
  <c r="P145" i="21"/>
  <c r="O145" i="21"/>
  <c r="N145" i="21"/>
  <c r="M145" i="21"/>
  <c r="L145" i="21"/>
  <c r="K145" i="21"/>
  <c r="K209" i="21" s="1"/>
  <c r="J145" i="21"/>
  <c r="J209" i="21" s="1"/>
  <c r="I145" i="21"/>
  <c r="I209" i="21" s="1"/>
  <c r="H145" i="21"/>
  <c r="H209" i="21" s="1"/>
  <c r="G145" i="21"/>
  <c r="G209" i="21" s="1"/>
  <c r="F145" i="21"/>
  <c r="E145" i="21"/>
  <c r="D145" i="21"/>
  <c r="C145" i="21"/>
  <c r="Z144" i="21"/>
  <c r="Z208" i="21" s="1"/>
  <c r="Y144" i="21"/>
  <c r="Y208" i="21" s="1"/>
  <c r="X144" i="21"/>
  <c r="X208" i="21" s="1"/>
  <c r="W144" i="21"/>
  <c r="W208" i="21" s="1"/>
  <c r="V144" i="21"/>
  <c r="V208" i="21" s="1"/>
  <c r="U144" i="21"/>
  <c r="T144" i="21"/>
  <c r="S144" i="21"/>
  <c r="R144" i="21"/>
  <c r="R208" i="21" s="1"/>
  <c r="Q144" i="21"/>
  <c r="P144" i="21"/>
  <c r="O144" i="21"/>
  <c r="O208" i="21" s="1"/>
  <c r="N144" i="21"/>
  <c r="N208" i="21" s="1"/>
  <c r="M144" i="21"/>
  <c r="M208" i="21" s="1"/>
  <c r="L144" i="21"/>
  <c r="L208" i="21" s="1"/>
  <c r="K144" i="21"/>
  <c r="K208" i="21" s="1"/>
  <c r="J144" i="21"/>
  <c r="J208" i="21" s="1"/>
  <c r="I144" i="21"/>
  <c r="I208" i="21" s="1"/>
  <c r="H144" i="21"/>
  <c r="H208" i="21" s="1"/>
  <c r="G144" i="21"/>
  <c r="G208" i="21" s="1"/>
  <c r="F144" i="21"/>
  <c r="E144" i="21"/>
  <c r="D144" i="21"/>
  <c r="C144" i="21"/>
  <c r="Z143" i="21"/>
  <c r="Z207" i="21" s="1"/>
  <c r="Y143" i="21"/>
  <c r="X143" i="21"/>
  <c r="W143" i="21"/>
  <c r="V143" i="21"/>
  <c r="V207" i="21" s="1"/>
  <c r="U143" i="21"/>
  <c r="U207" i="21" s="1"/>
  <c r="T143" i="21"/>
  <c r="T207" i="21" s="1"/>
  <c r="S143" i="21"/>
  <c r="S207" i="21" s="1"/>
  <c r="R143" i="21"/>
  <c r="R207" i="21" s="1"/>
  <c r="Q143" i="21"/>
  <c r="Q207" i="21" s="1"/>
  <c r="P143" i="21"/>
  <c r="P207" i="21" s="1"/>
  <c r="O143" i="21"/>
  <c r="O207" i="21" s="1"/>
  <c r="N143" i="21"/>
  <c r="N207" i="21" s="1"/>
  <c r="M143" i="21"/>
  <c r="M207" i="21" s="1"/>
  <c r="L143" i="21"/>
  <c r="K143" i="21"/>
  <c r="J143" i="21"/>
  <c r="J207" i="21" s="1"/>
  <c r="I143" i="21"/>
  <c r="H143" i="21"/>
  <c r="G143" i="21"/>
  <c r="F143" i="21"/>
  <c r="E143" i="21"/>
  <c r="D143" i="21"/>
  <c r="C143" i="21"/>
  <c r="Z142" i="21"/>
  <c r="Z206" i="21" s="1"/>
  <c r="Y142" i="21"/>
  <c r="Y206" i="21" s="1"/>
  <c r="X142" i="21"/>
  <c r="X206" i="21" s="1"/>
  <c r="W142" i="21"/>
  <c r="W206" i="21" s="1"/>
  <c r="V142" i="21"/>
  <c r="V206" i="21" s="1"/>
  <c r="U142" i="21"/>
  <c r="U206" i="21" s="1"/>
  <c r="T142" i="21"/>
  <c r="T206" i="21" s="1"/>
  <c r="S142" i="21"/>
  <c r="S206" i="21" s="1"/>
  <c r="R142" i="21"/>
  <c r="R206" i="21" s="1"/>
  <c r="Q142" i="21"/>
  <c r="Q206" i="21" s="1"/>
  <c r="P142" i="21"/>
  <c r="P206" i="21" s="1"/>
  <c r="O142" i="21"/>
  <c r="O206" i="21" s="1"/>
  <c r="N142" i="21"/>
  <c r="N206" i="21" s="1"/>
  <c r="M142" i="21"/>
  <c r="M206" i="21" s="1"/>
  <c r="L142" i="21"/>
  <c r="L206" i="21" s="1"/>
  <c r="K142" i="21"/>
  <c r="K206" i="21" s="1"/>
  <c r="J142" i="21"/>
  <c r="J206" i="21" s="1"/>
  <c r="I142" i="21"/>
  <c r="I206" i="21" s="1"/>
  <c r="H142" i="21"/>
  <c r="H206" i="21" s="1"/>
  <c r="G142" i="21"/>
  <c r="G206" i="21" s="1"/>
  <c r="F142" i="21"/>
  <c r="E142" i="21"/>
  <c r="D142" i="21"/>
  <c r="C142" i="21"/>
  <c r="Z141" i="21"/>
  <c r="Z205" i="21" s="1"/>
  <c r="Y141" i="21"/>
  <c r="Y205" i="21" s="1"/>
  <c r="X141" i="21"/>
  <c r="X205" i="21" s="1"/>
  <c r="W141" i="21"/>
  <c r="W205" i="21" s="1"/>
  <c r="V141" i="21"/>
  <c r="V205" i="21" s="1"/>
  <c r="U141" i="21"/>
  <c r="U205" i="21" s="1"/>
  <c r="T141" i="21"/>
  <c r="T205" i="21" s="1"/>
  <c r="S141" i="21"/>
  <c r="S205" i="21" s="1"/>
  <c r="R141" i="21"/>
  <c r="R205" i="21" s="1"/>
  <c r="Q141" i="21"/>
  <c r="P141" i="21"/>
  <c r="O141" i="21"/>
  <c r="N141" i="21"/>
  <c r="N205" i="21" s="1"/>
  <c r="M141" i="21"/>
  <c r="L141" i="21"/>
  <c r="K141" i="21"/>
  <c r="K205" i="21" s="1"/>
  <c r="J141" i="21"/>
  <c r="J205" i="21" s="1"/>
  <c r="I141" i="21"/>
  <c r="I205" i="21" s="1"/>
  <c r="H141" i="21"/>
  <c r="H205" i="21" s="1"/>
  <c r="G141" i="21"/>
  <c r="G205" i="21" s="1"/>
  <c r="F141" i="21"/>
  <c r="E141" i="21"/>
  <c r="D141" i="21"/>
  <c r="C141" i="21"/>
  <c r="Z140" i="21"/>
  <c r="Z204" i="21" s="1"/>
  <c r="Y140" i="21"/>
  <c r="Y204" i="21" s="1"/>
  <c r="X140" i="21"/>
  <c r="X204" i="21" s="1"/>
  <c r="W140" i="21"/>
  <c r="W204" i="21" s="1"/>
  <c r="V140" i="21"/>
  <c r="V204" i="21" s="1"/>
  <c r="U140" i="21"/>
  <c r="T140" i="21"/>
  <c r="S140" i="21"/>
  <c r="R140" i="21"/>
  <c r="R204" i="21" s="1"/>
  <c r="Q140" i="21"/>
  <c r="P140" i="21"/>
  <c r="O140" i="21"/>
  <c r="O204" i="21" s="1"/>
  <c r="N140" i="21"/>
  <c r="N204" i="21" s="1"/>
  <c r="M140" i="21"/>
  <c r="M204" i="21" s="1"/>
  <c r="L140" i="21"/>
  <c r="L204" i="21" s="1"/>
  <c r="K140" i="21"/>
  <c r="K204" i="21" s="1"/>
  <c r="J140" i="21"/>
  <c r="J204" i="21" s="1"/>
  <c r="I140" i="21"/>
  <c r="I204" i="21" s="1"/>
  <c r="H140" i="21"/>
  <c r="H204" i="21" s="1"/>
  <c r="G140" i="21"/>
  <c r="G204" i="21" s="1"/>
  <c r="F140" i="21"/>
  <c r="E140" i="21"/>
  <c r="D140" i="21"/>
  <c r="C140" i="21"/>
  <c r="Z139" i="21"/>
  <c r="Z203" i="21" s="1"/>
  <c r="Y139" i="21"/>
  <c r="X139" i="21"/>
  <c r="W139" i="21"/>
  <c r="V139" i="21"/>
  <c r="V203" i="21" s="1"/>
  <c r="U139" i="21"/>
  <c r="U203" i="21" s="1"/>
  <c r="T139" i="21"/>
  <c r="T203" i="21" s="1"/>
  <c r="S139" i="21"/>
  <c r="S203" i="21" s="1"/>
  <c r="R139" i="21"/>
  <c r="R203" i="21" s="1"/>
  <c r="Q139" i="21"/>
  <c r="Q203" i="21" s="1"/>
  <c r="P139" i="21"/>
  <c r="P203" i="21" s="1"/>
  <c r="O139" i="21"/>
  <c r="O203" i="21" s="1"/>
  <c r="N139" i="21"/>
  <c r="N203" i="21" s="1"/>
  <c r="M139" i="21"/>
  <c r="M203" i="21" s="1"/>
  <c r="L139" i="21"/>
  <c r="K139" i="21"/>
  <c r="J139" i="21"/>
  <c r="J203" i="21" s="1"/>
  <c r="I139" i="21"/>
  <c r="H139" i="21"/>
  <c r="G139" i="21"/>
  <c r="F139" i="21"/>
  <c r="E139" i="21"/>
  <c r="D139" i="21"/>
  <c r="C139" i="21"/>
  <c r="Z121" i="21"/>
  <c r="O81" i="24" s="1"/>
  <c r="O96" i="24" s="1"/>
  <c r="G318" i="24" s="1"/>
  <c r="I32" i="28" s="1"/>
  <c r="Y121" i="21"/>
  <c r="X121" i="21"/>
  <c r="N81" i="24" s="1"/>
  <c r="N96" i="24" s="1"/>
  <c r="G314" i="24" s="1"/>
  <c r="I31" i="28" s="1"/>
  <c r="W121" i="21"/>
  <c r="V121" i="21"/>
  <c r="M81" i="24" s="1"/>
  <c r="M96" i="24" s="1"/>
  <c r="G310" i="24" s="1"/>
  <c r="I30" i="28" s="1"/>
  <c r="U121" i="21"/>
  <c r="T121" i="21"/>
  <c r="L81" i="24" s="1"/>
  <c r="L96" i="24" s="1"/>
  <c r="G306" i="24" s="1"/>
  <c r="I29" i="28" s="1"/>
  <c r="S121" i="21"/>
  <c r="R121" i="21"/>
  <c r="K81" i="24" s="1"/>
  <c r="K96" i="24" s="1"/>
  <c r="G302" i="24" s="1"/>
  <c r="I28" i="28" s="1"/>
  <c r="Q121" i="21"/>
  <c r="P121" i="21"/>
  <c r="J81" i="24" s="1"/>
  <c r="J96" i="24" s="1"/>
  <c r="G298" i="24" s="1"/>
  <c r="I27" i="28" s="1"/>
  <c r="O121" i="21"/>
  <c r="N121" i="21"/>
  <c r="I81" i="24" s="1"/>
  <c r="I96" i="24" s="1"/>
  <c r="G294" i="24" s="1"/>
  <c r="I26" i="28" s="1"/>
  <c r="M121" i="21"/>
  <c r="L121" i="21"/>
  <c r="H81" i="24" s="1"/>
  <c r="H96" i="24" s="1"/>
  <c r="G290" i="24" s="1"/>
  <c r="I25" i="28" s="1"/>
  <c r="K121" i="21"/>
  <c r="J121" i="21"/>
  <c r="G81" i="24" s="1"/>
  <c r="I121" i="21"/>
  <c r="H121" i="21"/>
  <c r="F81" i="24" s="1"/>
  <c r="F96" i="24" s="1"/>
  <c r="G282" i="24" s="1"/>
  <c r="I23" i="28" s="1"/>
  <c r="G121" i="21"/>
  <c r="F121" i="21"/>
  <c r="E81" i="24" s="1"/>
  <c r="E96" i="24" s="1"/>
  <c r="G278" i="24" s="1"/>
  <c r="I22" i="28" s="1"/>
  <c r="E121" i="21"/>
  <c r="D121" i="21"/>
  <c r="D81" i="24" s="1"/>
  <c r="D96" i="24" s="1"/>
  <c r="G274" i="24" s="1"/>
  <c r="I21" i="28" s="1"/>
  <c r="C121"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D124" i="21"/>
  <c r="F124" i="21"/>
  <c r="G124" i="21"/>
  <c r="I124" i="21"/>
  <c r="K124" i="21"/>
  <c r="M124" i="21"/>
  <c r="O124" i="21"/>
  <c r="Q124" i="21"/>
  <c r="S124" i="21"/>
  <c r="U124" i="21"/>
  <c r="W124" i="21"/>
  <c r="Y124" i="21"/>
  <c r="D125" i="21"/>
  <c r="F125" i="21"/>
  <c r="H125" i="21"/>
  <c r="J125" i="21"/>
  <c r="L125" i="21"/>
  <c r="N125" i="21"/>
  <c r="P125" i="21"/>
  <c r="R125" i="21"/>
  <c r="T125" i="21"/>
  <c r="V125" i="21"/>
  <c r="X125" i="21"/>
  <c r="Z125" i="21"/>
  <c r="G151" i="21"/>
  <c r="H151" i="21" s="1"/>
  <c r="I151" i="21"/>
  <c r="J151" i="21" s="1"/>
  <c r="K151" i="21"/>
  <c r="L151" i="21" s="1"/>
  <c r="M151" i="21"/>
  <c r="N151" i="21" s="1"/>
  <c r="O151" i="21"/>
  <c r="P151" i="21" s="1"/>
  <c r="Q151" i="21"/>
  <c r="R151" i="21" s="1"/>
  <c r="S151" i="21"/>
  <c r="T151" i="21" s="1"/>
  <c r="U151" i="21"/>
  <c r="V151" i="21" s="1"/>
  <c r="W151" i="21"/>
  <c r="X151" i="21" s="1"/>
  <c r="Y151" i="21"/>
  <c r="Z151" i="21" s="1"/>
  <c r="O205" i="21" l="1"/>
  <c r="O209" i="21"/>
  <c r="P209" i="21"/>
  <c r="P205" i="21"/>
  <c r="Q205" i="21"/>
  <c r="Q209" i="21"/>
  <c r="G96" i="24"/>
  <c r="G286" i="24" s="1"/>
  <c r="I24" i="28" s="1"/>
  <c r="G203" i="21"/>
  <c r="W203" i="21"/>
  <c r="G207" i="21"/>
  <c r="W207" i="21"/>
  <c r="G211" i="21"/>
  <c r="W211" i="21"/>
  <c r="P204" i="21"/>
  <c r="H207" i="21"/>
  <c r="X207" i="21"/>
  <c r="P208" i="21"/>
  <c r="H211" i="21"/>
  <c r="X211" i="21"/>
  <c r="X203" i="21"/>
  <c r="I203" i="21"/>
  <c r="Y203" i="21"/>
  <c r="Q204" i="21"/>
  <c r="I207" i="21"/>
  <c r="Y207" i="21"/>
  <c r="Q208" i="21"/>
  <c r="I211" i="21"/>
  <c r="Y211" i="21"/>
  <c r="Q212" i="21"/>
  <c r="G134" i="24"/>
  <c r="I286" i="24" s="1"/>
  <c r="K24" i="28" s="1"/>
  <c r="K203" i="21"/>
  <c r="S204" i="21"/>
  <c r="K207" i="21"/>
  <c r="S208" i="21"/>
  <c r="K211" i="21"/>
  <c r="S212" i="21"/>
  <c r="L203" i="21"/>
  <c r="T204" i="21"/>
  <c r="L205" i="21"/>
  <c r="L207" i="21"/>
  <c r="T208" i="21"/>
  <c r="L209" i="21"/>
  <c r="L211" i="21"/>
  <c r="U204" i="21"/>
  <c r="M205" i="21"/>
  <c r="U208" i="21"/>
  <c r="M209" i="21"/>
  <c r="U212" i="21"/>
  <c r="H203" i="21"/>
  <c r="N209" i="21"/>
  <c r="E115" i="24"/>
  <c r="H278" i="24" s="1"/>
  <c r="J22" i="28" s="1"/>
  <c r="E99" i="24"/>
  <c r="E116" i="24" s="1"/>
  <c r="H279" i="24" s="1"/>
  <c r="J37" i="28" s="1"/>
  <c r="D115" i="24"/>
  <c r="H274" i="24" s="1"/>
  <c r="J21" i="28" s="1"/>
  <c r="H212" i="21"/>
  <c r="F138" i="24" s="1"/>
  <c r="F153" i="24" s="1"/>
  <c r="J282" i="24" s="1"/>
  <c r="L23" i="28" s="1"/>
  <c r="F100" i="24"/>
  <c r="F115" i="24" s="1"/>
  <c r="H282" i="24" s="1"/>
  <c r="J23" i="28" s="1"/>
  <c r="L212" i="21"/>
  <c r="H138" i="24" s="1"/>
  <c r="H153" i="24" s="1"/>
  <c r="J290" i="24" s="1"/>
  <c r="L25" i="28" s="1"/>
  <c r="H100" i="24"/>
  <c r="H115" i="24" s="1"/>
  <c r="H290" i="24" s="1"/>
  <c r="J25" i="28" s="1"/>
  <c r="P212" i="21"/>
  <c r="J138" i="24" s="1"/>
  <c r="J153" i="24" s="1"/>
  <c r="J298" i="24" s="1"/>
  <c r="L27" i="28" s="1"/>
  <c r="J100" i="24"/>
  <c r="T212" i="21"/>
  <c r="L138" i="24" s="1"/>
  <c r="L153" i="24" s="1"/>
  <c r="J306" i="24" s="1"/>
  <c r="L29" i="28" s="1"/>
  <c r="L100" i="24"/>
  <c r="L115" i="24" s="1"/>
  <c r="H306" i="24" s="1"/>
  <c r="J29" i="28" s="1"/>
  <c r="X212" i="21"/>
  <c r="N138" i="24" s="1"/>
  <c r="N153" i="24" s="1"/>
  <c r="J314" i="24" s="1"/>
  <c r="L31" i="28" s="1"/>
  <c r="N100" i="24"/>
  <c r="N115" i="24" s="1"/>
  <c r="H314" i="24" s="1"/>
  <c r="J31" i="28" s="1"/>
  <c r="J212" i="21"/>
  <c r="G138" i="24" s="1"/>
  <c r="G100" i="24"/>
  <c r="N212" i="21"/>
  <c r="I138" i="24" s="1"/>
  <c r="I153" i="24" s="1"/>
  <c r="J294" i="24" s="1"/>
  <c r="L26" i="28" s="1"/>
  <c r="I100" i="24"/>
  <c r="I115" i="24" s="1"/>
  <c r="H294" i="24" s="1"/>
  <c r="J26" i="28" s="1"/>
  <c r="R212" i="21"/>
  <c r="K138" i="24" s="1"/>
  <c r="K153" i="24" s="1"/>
  <c r="J302" i="24" s="1"/>
  <c r="L28" i="28" s="1"/>
  <c r="K100" i="24"/>
  <c r="K115" i="24" s="1"/>
  <c r="H302" i="24" s="1"/>
  <c r="J28" i="28" s="1"/>
  <c r="V212" i="21"/>
  <c r="M138" i="24" s="1"/>
  <c r="M153" i="24" s="1"/>
  <c r="J310" i="24" s="1"/>
  <c r="L30" i="28" s="1"/>
  <c r="M100" i="24"/>
  <c r="M115" i="24" s="1"/>
  <c r="H310" i="24" s="1"/>
  <c r="J30" i="28" s="1"/>
  <c r="Z212" i="21"/>
  <c r="O138" i="24" s="1"/>
  <c r="O153" i="24" s="1"/>
  <c r="J318" i="24" s="1"/>
  <c r="L32" i="28" s="1"/>
  <c r="O100" i="24"/>
  <c r="O115" i="24" s="1"/>
  <c r="H318" i="24" s="1"/>
  <c r="J32" i="28" s="1"/>
  <c r="D70" i="21"/>
  <c r="F70" i="21"/>
  <c r="H70" i="21"/>
  <c r="J70" i="21"/>
  <c r="L70" i="21"/>
  <c r="N70" i="21"/>
  <c r="P70" i="21"/>
  <c r="R70" i="21"/>
  <c r="T70" i="21"/>
  <c r="V70" i="21"/>
  <c r="X70" i="21"/>
  <c r="Z70" i="21"/>
  <c r="D45" i="21"/>
  <c r="F45" i="21"/>
  <c r="H45" i="21"/>
  <c r="J45" i="21"/>
  <c r="L45" i="21"/>
  <c r="N45" i="21"/>
  <c r="P45" i="21"/>
  <c r="R45" i="21"/>
  <c r="T45" i="21"/>
  <c r="V45" i="21"/>
  <c r="X45" i="21"/>
  <c r="Z45" i="21"/>
  <c r="D95" i="21"/>
  <c r="F95" i="21"/>
  <c r="H95" i="21"/>
  <c r="J95" i="21"/>
  <c r="L95" i="21"/>
  <c r="N95" i="21"/>
  <c r="P95" i="21"/>
  <c r="R95" i="21"/>
  <c r="T95" i="21"/>
  <c r="V95" i="21"/>
  <c r="X95" i="21"/>
  <c r="Z95" i="21"/>
  <c r="D97" i="21"/>
  <c r="F97" i="21"/>
  <c r="H97" i="21"/>
  <c r="J99" i="21"/>
  <c r="L99" i="21"/>
  <c r="R99" i="21"/>
  <c r="V99" i="21"/>
  <c r="Z99" i="21"/>
  <c r="Z92" i="21"/>
  <c r="O62" i="24" s="1"/>
  <c r="O77" i="24" s="1"/>
  <c r="F319" i="24" s="1"/>
  <c r="H32" i="28" s="1"/>
  <c r="Y92" i="21"/>
  <c r="X92" i="21"/>
  <c r="W92" i="21"/>
  <c r="V92" i="21"/>
  <c r="M62" i="24" s="1"/>
  <c r="M77" i="24" s="1"/>
  <c r="F311" i="24" s="1"/>
  <c r="H30" i="28" s="1"/>
  <c r="U92" i="21"/>
  <c r="T92" i="21"/>
  <c r="L62" i="24" s="1"/>
  <c r="S92" i="21"/>
  <c r="R92" i="21"/>
  <c r="K62" i="24" s="1"/>
  <c r="K77" i="24" s="1"/>
  <c r="F303" i="24" s="1"/>
  <c r="H28" i="28" s="1"/>
  <c r="Q92" i="21"/>
  <c r="P92" i="21"/>
  <c r="J62" i="24" s="1"/>
  <c r="J77" i="24" s="1"/>
  <c r="F299" i="24" s="1"/>
  <c r="H27" i="28" s="1"/>
  <c r="O92" i="21"/>
  <c r="N92" i="21"/>
  <c r="I62" i="24" s="1"/>
  <c r="M92" i="21"/>
  <c r="L92" i="21"/>
  <c r="H62" i="24" s="1"/>
  <c r="H77" i="24" s="1"/>
  <c r="H25" i="28" s="1"/>
  <c r="K92" i="21"/>
  <c r="J92" i="21"/>
  <c r="G62" i="24" s="1"/>
  <c r="I92" i="21"/>
  <c r="H92" i="21"/>
  <c r="F62" i="24" s="1"/>
  <c r="G92" i="21"/>
  <c r="F92" i="21"/>
  <c r="E62" i="24" s="1"/>
  <c r="E92" i="21"/>
  <c r="D92" i="21"/>
  <c r="D62" i="24" s="1"/>
  <c r="C92" i="21"/>
  <c r="Z91" i="21"/>
  <c r="Y91" i="21"/>
  <c r="X91" i="21"/>
  <c r="W91" i="21"/>
  <c r="V91" i="21"/>
  <c r="U91" i="21"/>
  <c r="T91" i="21"/>
  <c r="S91" i="21"/>
  <c r="R91" i="21"/>
  <c r="Q91" i="21"/>
  <c r="P91" i="21"/>
  <c r="O91" i="21"/>
  <c r="N91" i="21"/>
  <c r="M91" i="21"/>
  <c r="L91" i="21"/>
  <c r="K91" i="21"/>
  <c r="J91" i="21"/>
  <c r="I91" i="21"/>
  <c r="H91" i="21"/>
  <c r="G91" i="21"/>
  <c r="F91" i="21"/>
  <c r="E91" i="21"/>
  <c r="D91" i="21"/>
  <c r="C91" i="21"/>
  <c r="Z90" i="21"/>
  <c r="Y90" i="21"/>
  <c r="X90" i="21"/>
  <c r="W90" i="21"/>
  <c r="V90" i="21"/>
  <c r="U90" i="21"/>
  <c r="T90" i="21"/>
  <c r="S90" i="21"/>
  <c r="R90" i="21"/>
  <c r="Q90" i="21"/>
  <c r="P90" i="21"/>
  <c r="O90" i="21"/>
  <c r="N90" i="21"/>
  <c r="M90" i="21"/>
  <c r="L90" i="21"/>
  <c r="K90" i="21"/>
  <c r="J90" i="21"/>
  <c r="I90" i="21"/>
  <c r="H90" i="21"/>
  <c r="G90" i="21"/>
  <c r="F90" i="21"/>
  <c r="E90" i="21"/>
  <c r="D90" i="21"/>
  <c r="C90" i="21"/>
  <c r="Z89" i="21"/>
  <c r="Y89" i="21"/>
  <c r="X89" i="21"/>
  <c r="W89" i="21"/>
  <c r="V89" i="21"/>
  <c r="U89" i="21"/>
  <c r="T89" i="21"/>
  <c r="S89" i="21"/>
  <c r="R89" i="21"/>
  <c r="Q89" i="21"/>
  <c r="P89" i="21"/>
  <c r="O89" i="21"/>
  <c r="N89" i="21"/>
  <c r="M89" i="21"/>
  <c r="L89" i="21"/>
  <c r="K89" i="21"/>
  <c r="J89" i="21"/>
  <c r="I89" i="21"/>
  <c r="H89" i="21"/>
  <c r="G89" i="21"/>
  <c r="F89" i="21"/>
  <c r="E89" i="21"/>
  <c r="D89" i="21"/>
  <c r="C89" i="21"/>
  <c r="Z88" i="21"/>
  <c r="Y88" i="21"/>
  <c r="X88" i="21"/>
  <c r="W88" i="21"/>
  <c r="V88" i="21"/>
  <c r="U88" i="21"/>
  <c r="T88" i="21"/>
  <c r="S88" i="21"/>
  <c r="R88" i="21"/>
  <c r="Q88" i="21"/>
  <c r="P88" i="21"/>
  <c r="O88" i="21"/>
  <c r="N88" i="21"/>
  <c r="M88" i="21"/>
  <c r="L88" i="21"/>
  <c r="K88" i="21"/>
  <c r="J88" i="21"/>
  <c r="I88" i="21"/>
  <c r="H88" i="21"/>
  <c r="G88" i="21"/>
  <c r="F88" i="21"/>
  <c r="E88" i="21"/>
  <c r="D88" i="21"/>
  <c r="C88" i="21"/>
  <c r="Z87" i="21"/>
  <c r="Y87" i="21"/>
  <c r="X87" i="21"/>
  <c r="W87" i="21"/>
  <c r="V87" i="21"/>
  <c r="U87" i="21"/>
  <c r="T87" i="21"/>
  <c r="S87" i="21"/>
  <c r="R87" i="21"/>
  <c r="Q87" i="21"/>
  <c r="P87" i="21"/>
  <c r="O87" i="21"/>
  <c r="N87" i="21"/>
  <c r="M87" i="21"/>
  <c r="L87" i="21"/>
  <c r="K87" i="21"/>
  <c r="J87" i="21"/>
  <c r="I87" i="21"/>
  <c r="H87" i="21"/>
  <c r="G87" i="21"/>
  <c r="F87" i="21"/>
  <c r="E87" i="21"/>
  <c r="D87" i="21"/>
  <c r="C87" i="21"/>
  <c r="Z86" i="21"/>
  <c r="Y86" i="21"/>
  <c r="X86" i="21"/>
  <c r="W86" i="21"/>
  <c r="V86" i="21"/>
  <c r="U86" i="21"/>
  <c r="T86" i="21"/>
  <c r="S86" i="21"/>
  <c r="R86" i="21"/>
  <c r="Q86" i="21"/>
  <c r="P86" i="21"/>
  <c r="O86" i="21"/>
  <c r="N86" i="21"/>
  <c r="M86" i="21"/>
  <c r="L86" i="21"/>
  <c r="K86" i="21"/>
  <c r="J86" i="21"/>
  <c r="I86" i="21"/>
  <c r="H86" i="21"/>
  <c r="G86" i="21"/>
  <c r="F86" i="21"/>
  <c r="E86" i="21"/>
  <c r="D86" i="21"/>
  <c r="C86" i="21"/>
  <c r="Z85" i="21"/>
  <c r="Y85" i="21"/>
  <c r="X85" i="21"/>
  <c r="W85" i="21"/>
  <c r="V85" i="21"/>
  <c r="U85" i="21"/>
  <c r="T85" i="21"/>
  <c r="S85" i="21"/>
  <c r="R85" i="21"/>
  <c r="Q85" i="21"/>
  <c r="P85" i="21"/>
  <c r="O85" i="21"/>
  <c r="N85" i="21"/>
  <c r="M85" i="21"/>
  <c r="L85" i="21"/>
  <c r="K85" i="21"/>
  <c r="J85" i="21"/>
  <c r="I85" i="21"/>
  <c r="H85" i="21"/>
  <c r="G85" i="21"/>
  <c r="F85" i="21"/>
  <c r="E85" i="21"/>
  <c r="D85" i="21"/>
  <c r="C85" i="21"/>
  <c r="Z84" i="21"/>
  <c r="Y84" i="21"/>
  <c r="X84" i="21"/>
  <c r="W84" i="21"/>
  <c r="V84" i="21"/>
  <c r="U84" i="21"/>
  <c r="T84" i="21"/>
  <c r="S84" i="21"/>
  <c r="R84" i="21"/>
  <c r="Q84" i="21"/>
  <c r="P84" i="21"/>
  <c r="O84" i="21"/>
  <c r="N84" i="21"/>
  <c r="M84" i="21"/>
  <c r="L84" i="21"/>
  <c r="K84" i="21"/>
  <c r="J84" i="21"/>
  <c r="I84" i="21"/>
  <c r="H84" i="21"/>
  <c r="G84" i="21"/>
  <c r="F84" i="21"/>
  <c r="E84" i="21"/>
  <c r="D84" i="21"/>
  <c r="C84" i="21"/>
  <c r="Z83" i="21"/>
  <c r="Y83" i="21"/>
  <c r="W83" i="21"/>
  <c r="V83" i="21"/>
  <c r="U83" i="21"/>
  <c r="T83" i="21"/>
  <c r="S83" i="21"/>
  <c r="R83" i="21"/>
  <c r="Q83" i="21"/>
  <c r="P83" i="21"/>
  <c r="O83" i="21"/>
  <c r="N83" i="21"/>
  <c r="M83" i="21"/>
  <c r="L83" i="21"/>
  <c r="K83" i="21"/>
  <c r="J83" i="21"/>
  <c r="I83" i="21"/>
  <c r="H83" i="21"/>
  <c r="G83" i="21"/>
  <c r="F83" i="21"/>
  <c r="E83" i="21"/>
  <c r="D83" i="21"/>
  <c r="C83" i="21"/>
  <c r="C58" i="21"/>
  <c r="Z67" i="21"/>
  <c r="O34" i="24" s="1"/>
  <c r="Y67" i="21"/>
  <c r="X67" i="21"/>
  <c r="N34" i="24" s="1"/>
  <c r="W67" i="21"/>
  <c r="V67" i="21"/>
  <c r="M34" i="24" s="1"/>
  <c r="U67" i="21"/>
  <c r="T67" i="21"/>
  <c r="L34" i="24" s="1"/>
  <c r="S67" i="21"/>
  <c r="R67" i="21"/>
  <c r="K34" i="24" s="1"/>
  <c r="Q67" i="21"/>
  <c r="P67" i="21"/>
  <c r="J34" i="24" s="1"/>
  <c r="O67" i="21"/>
  <c r="N67" i="21"/>
  <c r="I34" i="24" s="1"/>
  <c r="M67" i="21"/>
  <c r="L67" i="21"/>
  <c r="H34" i="24" s="1"/>
  <c r="K67" i="21"/>
  <c r="J67" i="21"/>
  <c r="G34" i="24" s="1"/>
  <c r="I67" i="21"/>
  <c r="H67" i="21"/>
  <c r="F34" i="24" s="1"/>
  <c r="G67" i="21"/>
  <c r="F67" i="21"/>
  <c r="E34" i="24" s="1"/>
  <c r="E67" i="21"/>
  <c r="D67" i="21"/>
  <c r="D34" i="24" s="1"/>
  <c r="C67" i="21"/>
  <c r="Z66" i="21"/>
  <c r="Y66" i="21"/>
  <c r="X66" i="21"/>
  <c r="W66" i="21"/>
  <c r="V66" i="21"/>
  <c r="U66" i="21"/>
  <c r="T66" i="21"/>
  <c r="S66" i="21"/>
  <c r="R66" i="21"/>
  <c r="Q66" i="21"/>
  <c r="P66" i="21"/>
  <c r="O66" i="21"/>
  <c r="N66" i="21"/>
  <c r="M66" i="21"/>
  <c r="L66" i="21"/>
  <c r="K66" i="21"/>
  <c r="J66" i="21"/>
  <c r="I66" i="21"/>
  <c r="H66" i="21"/>
  <c r="G66" i="21"/>
  <c r="F66" i="21"/>
  <c r="E66" i="21"/>
  <c r="D66" i="21"/>
  <c r="C66" i="21"/>
  <c r="Z65" i="21"/>
  <c r="Y65" i="21"/>
  <c r="X65" i="21"/>
  <c r="W65" i="21"/>
  <c r="V65" i="21"/>
  <c r="U65" i="21"/>
  <c r="T65" i="21"/>
  <c r="S65" i="21"/>
  <c r="R65" i="21"/>
  <c r="Q65" i="21"/>
  <c r="P65" i="21"/>
  <c r="O65" i="21"/>
  <c r="N65" i="21"/>
  <c r="M65" i="21"/>
  <c r="L65" i="21"/>
  <c r="K65" i="21"/>
  <c r="J65" i="21"/>
  <c r="I65" i="21"/>
  <c r="H65" i="21"/>
  <c r="G65" i="21"/>
  <c r="F65" i="21"/>
  <c r="E65" i="21"/>
  <c r="D65" i="21"/>
  <c r="C65" i="21"/>
  <c r="Z64" i="21"/>
  <c r="Y64" i="21"/>
  <c r="X64" i="21"/>
  <c r="W64" i="21"/>
  <c r="V64" i="21"/>
  <c r="U64" i="21"/>
  <c r="T64" i="21"/>
  <c r="S64" i="21"/>
  <c r="R64" i="21"/>
  <c r="Q64" i="21"/>
  <c r="P64" i="21"/>
  <c r="O64" i="21"/>
  <c r="N64" i="21"/>
  <c r="M64" i="21"/>
  <c r="L64" i="21"/>
  <c r="K64" i="21"/>
  <c r="J64" i="21"/>
  <c r="I64" i="21"/>
  <c r="H64" i="21"/>
  <c r="G64" i="21"/>
  <c r="F64" i="21"/>
  <c r="E64" i="21"/>
  <c r="D64" i="21"/>
  <c r="C64" i="21"/>
  <c r="Z63" i="21"/>
  <c r="Y63" i="21"/>
  <c r="X63" i="21"/>
  <c r="W63" i="21"/>
  <c r="V63" i="21"/>
  <c r="U63" i="21"/>
  <c r="T63" i="21"/>
  <c r="S63" i="21"/>
  <c r="R63" i="21"/>
  <c r="Q63" i="21"/>
  <c r="P63" i="21"/>
  <c r="O63" i="21"/>
  <c r="N63" i="21"/>
  <c r="M63" i="21"/>
  <c r="L63" i="21"/>
  <c r="K63" i="21"/>
  <c r="J63" i="21"/>
  <c r="I63" i="21"/>
  <c r="H63" i="21"/>
  <c r="G63" i="21"/>
  <c r="F63" i="21"/>
  <c r="E63" i="21"/>
  <c r="D63" i="21"/>
  <c r="C63" i="21"/>
  <c r="Z62" i="21"/>
  <c r="Y62" i="21"/>
  <c r="X62" i="21"/>
  <c r="W62" i="21"/>
  <c r="V62" i="21"/>
  <c r="U62" i="21"/>
  <c r="T62" i="21"/>
  <c r="S62" i="21"/>
  <c r="R62" i="21"/>
  <c r="Q62" i="21"/>
  <c r="P62" i="21"/>
  <c r="O62" i="21"/>
  <c r="N62" i="21"/>
  <c r="M62" i="21"/>
  <c r="L62" i="21"/>
  <c r="K62" i="21"/>
  <c r="J62" i="21"/>
  <c r="I62" i="21"/>
  <c r="H62" i="21"/>
  <c r="G62" i="21"/>
  <c r="F62" i="21"/>
  <c r="E62" i="21"/>
  <c r="D62" i="21"/>
  <c r="C62" i="21"/>
  <c r="Z61" i="21"/>
  <c r="Y61" i="21"/>
  <c r="X61" i="21"/>
  <c r="W61" i="21"/>
  <c r="V61" i="21"/>
  <c r="U61" i="21"/>
  <c r="T61" i="21"/>
  <c r="S61" i="21"/>
  <c r="R61" i="21"/>
  <c r="Q61" i="21"/>
  <c r="P61" i="21"/>
  <c r="O61" i="21"/>
  <c r="N61" i="21"/>
  <c r="M61" i="21"/>
  <c r="L61" i="21"/>
  <c r="K61" i="21"/>
  <c r="J61" i="21"/>
  <c r="I61" i="21"/>
  <c r="H61" i="21"/>
  <c r="G61" i="21"/>
  <c r="F61" i="21"/>
  <c r="E61" i="21"/>
  <c r="D61" i="21"/>
  <c r="C61" i="21"/>
  <c r="Z60" i="21"/>
  <c r="Y60" i="21"/>
  <c r="X60" i="21"/>
  <c r="W60" i="21"/>
  <c r="V60" i="21"/>
  <c r="U60" i="21"/>
  <c r="T60" i="21"/>
  <c r="S60" i="21"/>
  <c r="R60" i="21"/>
  <c r="Q60" i="21"/>
  <c r="P60" i="21"/>
  <c r="O60" i="21"/>
  <c r="N60" i="21"/>
  <c r="M60" i="21"/>
  <c r="L60" i="21"/>
  <c r="K60" i="21"/>
  <c r="J60" i="21"/>
  <c r="I60" i="21"/>
  <c r="H60" i="21"/>
  <c r="G60" i="21"/>
  <c r="F60" i="21"/>
  <c r="E60" i="21"/>
  <c r="D60" i="21"/>
  <c r="C60" i="21"/>
  <c r="Z59" i="21"/>
  <c r="Y59" i="21"/>
  <c r="X59" i="21"/>
  <c r="W59" i="21"/>
  <c r="V59" i="21"/>
  <c r="U59" i="21"/>
  <c r="T59" i="21"/>
  <c r="S59" i="21"/>
  <c r="R59" i="21"/>
  <c r="Q59" i="21"/>
  <c r="P59" i="21"/>
  <c r="O59" i="21"/>
  <c r="N59" i="21"/>
  <c r="M59" i="21"/>
  <c r="L59" i="21"/>
  <c r="K59" i="21"/>
  <c r="J59" i="21"/>
  <c r="I59" i="21"/>
  <c r="H59" i="21"/>
  <c r="G59" i="21"/>
  <c r="F59" i="21"/>
  <c r="E59" i="21"/>
  <c r="D59" i="21"/>
  <c r="C59" i="21"/>
  <c r="Z58" i="21"/>
  <c r="Y58" i="21"/>
  <c r="X58" i="21"/>
  <c r="W58" i="21"/>
  <c r="V58" i="21"/>
  <c r="U58" i="21"/>
  <c r="T58" i="21"/>
  <c r="S58" i="21"/>
  <c r="R58" i="21"/>
  <c r="Q58" i="21"/>
  <c r="P58" i="21"/>
  <c r="O58" i="21"/>
  <c r="N58" i="21"/>
  <c r="M58" i="21"/>
  <c r="L58" i="21"/>
  <c r="K58" i="21"/>
  <c r="J58" i="21"/>
  <c r="I58" i="21"/>
  <c r="H58" i="21"/>
  <c r="G58" i="21"/>
  <c r="F58" i="21"/>
  <c r="E58" i="21"/>
  <c r="D58" i="21"/>
  <c r="F20" i="21"/>
  <c r="Z18" i="21"/>
  <c r="Z20" i="21"/>
  <c r="J18" i="21"/>
  <c r="L18" i="21"/>
  <c r="N18" i="21"/>
  <c r="P18" i="21"/>
  <c r="R18" i="21"/>
  <c r="T18" i="21"/>
  <c r="V18" i="21"/>
  <c r="X18" i="21"/>
  <c r="J20" i="21"/>
  <c r="L20" i="21"/>
  <c r="N20" i="21"/>
  <c r="P20" i="21"/>
  <c r="R20" i="21"/>
  <c r="T20" i="21"/>
  <c r="V20" i="21"/>
  <c r="X20" i="21"/>
  <c r="F18" i="21"/>
  <c r="H18" i="21"/>
  <c r="H20" i="21"/>
  <c r="D20" i="21"/>
  <c r="D18" i="21"/>
  <c r="F315" i="24" l="1"/>
  <c r="H31" i="28" s="1"/>
  <c r="N61" i="24"/>
  <c r="N78" i="24" s="1"/>
  <c r="H46" i="28" s="1"/>
  <c r="G115" i="24"/>
  <c r="H286" i="24" s="1"/>
  <c r="J24" i="28" s="1"/>
  <c r="G153" i="24"/>
  <c r="J286" i="24" s="1"/>
  <c r="L24" i="28" s="1"/>
  <c r="D52" i="24"/>
  <c r="D55" i="24"/>
  <c r="D58" i="24" s="1"/>
  <c r="E275" i="24" s="1"/>
  <c r="G21" i="28" s="1"/>
  <c r="F52" i="24"/>
  <c r="F58" i="24" s="1"/>
  <c r="F55" i="24"/>
  <c r="F57" i="24" s="1"/>
  <c r="E281" i="24" s="1"/>
  <c r="J52" i="24"/>
  <c r="J58" i="24" s="1"/>
  <c r="E299" i="24" s="1"/>
  <c r="G27" i="28" s="1"/>
  <c r="J55" i="24"/>
  <c r="N52" i="24"/>
  <c r="N58" i="24" s="1"/>
  <c r="E315" i="24" s="1"/>
  <c r="G31" i="28" s="1"/>
  <c r="N55" i="24"/>
  <c r="D77" i="24"/>
  <c r="F275" i="24" s="1"/>
  <c r="H21" i="28" s="1"/>
  <c r="F77" i="24"/>
  <c r="H23" i="28" s="1"/>
  <c r="L77" i="24"/>
  <c r="F307" i="24" s="1"/>
  <c r="H29" i="28" s="1"/>
  <c r="J115" i="24"/>
  <c r="H298" i="24" s="1"/>
  <c r="J27" i="28" s="1"/>
  <c r="H52" i="24"/>
  <c r="H58" i="24" s="1"/>
  <c r="G25" i="28" s="1"/>
  <c r="H55" i="24"/>
  <c r="L52" i="24"/>
  <c r="L58" i="24" s="1"/>
  <c r="E307" i="24" s="1"/>
  <c r="G29" i="28" s="1"/>
  <c r="L55" i="24"/>
  <c r="L57" i="24" s="1"/>
  <c r="E305" i="24" s="1"/>
  <c r="G14" i="28" s="1"/>
  <c r="E52" i="24"/>
  <c r="E58" i="24" s="1"/>
  <c r="E279" i="24" s="1"/>
  <c r="G22" i="28" s="1"/>
  <c r="E55" i="24"/>
  <c r="E57" i="24" s="1"/>
  <c r="E277" i="24" s="1"/>
  <c r="G52" i="24"/>
  <c r="G58" i="24" s="1"/>
  <c r="G55" i="24"/>
  <c r="I52" i="24"/>
  <c r="I58" i="24" s="1"/>
  <c r="E295" i="24" s="1"/>
  <c r="G26" i="28" s="1"/>
  <c r="I55" i="24"/>
  <c r="K52" i="24"/>
  <c r="K58" i="24" s="1"/>
  <c r="E303" i="24" s="1"/>
  <c r="G28" i="28" s="1"/>
  <c r="K55" i="24"/>
  <c r="M52" i="24"/>
  <c r="M58" i="24" s="1"/>
  <c r="E311" i="24" s="1"/>
  <c r="G30" i="28" s="1"/>
  <c r="M55" i="24"/>
  <c r="M57" i="24" s="1"/>
  <c r="E309" i="24" s="1"/>
  <c r="G15" i="28" s="1"/>
  <c r="O52" i="24"/>
  <c r="O58" i="24" s="1"/>
  <c r="E319" i="24" s="1"/>
  <c r="G32" i="28" s="1"/>
  <c r="O55" i="24"/>
  <c r="E77" i="24"/>
  <c r="F279" i="24" s="1"/>
  <c r="H22" i="28" s="1"/>
  <c r="G77" i="24"/>
  <c r="I77" i="24"/>
  <c r="F295" i="24" s="1"/>
  <c r="H26" i="28" s="1"/>
  <c r="G8" i="28" l="1"/>
  <c r="E282" i="24"/>
  <c r="G23" i="28" s="1"/>
  <c r="G7" i="28"/>
  <c r="E278" i="24"/>
  <c r="G24" i="28"/>
  <c r="H24" i="28"/>
  <c r="E20" i="13"/>
  <c r="C20" i="13"/>
  <c r="C49" i="14" l="1"/>
  <c r="C50" i="14"/>
  <c r="E124" i="21" s="1"/>
  <c r="C51" i="14"/>
  <c r="E125" i="21" s="1"/>
  <c r="C52" i="14"/>
  <c r="E126" i="21" s="1"/>
  <c r="B50" i="14"/>
  <c r="C124" i="21" s="1"/>
  <c r="B51" i="14"/>
  <c r="C125" i="21" s="1"/>
  <c r="B52" i="14"/>
  <c r="C126" i="21" s="1"/>
  <c r="B49" i="14"/>
  <c r="C14" i="14"/>
  <c r="C15" i="14"/>
  <c r="E124" i="20" s="1"/>
  <c r="C16" i="14"/>
  <c r="E125" i="20" s="1"/>
  <c r="C17" i="14"/>
  <c r="E126" i="20" s="1"/>
  <c r="B15" i="14"/>
  <c r="C124" i="20" s="1"/>
  <c r="B16" i="14"/>
  <c r="C125" i="20" s="1"/>
  <c r="B17" i="14"/>
  <c r="C126" i="20" s="1"/>
  <c r="B14" i="14"/>
  <c r="Z42" i="21" l="1"/>
  <c r="O6" i="24" s="1"/>
  <c r="Y42" i="21"/>
  <c r="X42" i="21"/>
  <c r="N6" i="24" s="1"/>
  <c r="W42" i="21"/>
  <c r="V42" i="21"/>
  <c r="M6" i="24" s="1"/>
  <c r="U42" i="21"/>
  <c r="T42" i="21"/>
  <c r="L6" i="24" s="1"/>
  <c r="S42" i="21"/>
  <c r="R42" i="21"/>
  <c r="K6" i="24" s="1"/>
  <c r="Q42" i="21"/>
  <c r="P42" i="21"/>
  <c r="J6" i="24" s="1"/>
  <c r="J24" i="24" s="1"/>
  <c r="J30" i="24" s="1"/>
  <c r="D299" i="24" s="1"/>
  <c r="F27" i="28" s="1"/>
  <c r="O42" i="21"/>
  <c r="M42" i="21"/>
  <c r="L42" i="21"/>
  <c r="H6" i="24" s="1"/>
  <c r="H24" i="24" s="1"/>
  <c r="H30" i="24" s="1"/>
  <c r="F25" i="28" s="1"/>
  <c r="K42" i="21"/>
  <c r="I42" i="21"/>
  <c r="G42" i="21"/>
  <c r="E42" i="21"/>
  <c r="D42" i="21"/>
  <c r="D6" i="24" s="1"/>
  <c r="C42" i="21"/>
  <c r="Z41" i="21"/>
  <c r="Y41" i="21"/>
  <c r="X41" i="21"/>
  <c r="W41" i="21"/>
  <c r="V41" i="21"/>
  <c r="U41" i="21"/>
  <c r="T41" i="21"/>
  <c r="S41" i="21"/>
  <c r="R41" i="21"/>
  <c r="Q41" i="21"/>
  <c r="P41" i="21"/>
  <c r="O41" i="21"/>
  <c r="N41" i="21"/>
  <c r="M41" i="21"/>
  <c r="L41" i="21"/>
  <c r="K41" i="21"/>
  <c r="J41" i="21"/>
  <c r="I41" i="21"/>
  <c r="H41" i="21"/>
  <c r="G41" i="21"/>
  <c r="F41" i="21"/>
  <c r="E41" i="21"/>
  <c r="D41" i="21"/>
  <c r="C41" i="21"/>
  <c r="Z40" i="21"/>
  <c r="Y40" i="21"/>
  <c r="X40" i="21"/>
  <c r="W40" i="21"/>
  <c r="V40" i="21"/>
  <c r="U40" i="21"/>
  <c r="T40" i="21"/>
  <c r="S40" i="21"/>
  <c r="R40" i="21"/>
  <c r="Q40" i="21"/>
  <c r="P40" i="21"/>
  <c r="O40" i="21"/>
  <c r="N40" i="21"/>
  <c r="M40" i="21"/>
  <c r="L40" i="21"/>
  <c r="K40" i="21"/>
  <c r="J40" i="21"/>
  <c r="I40" i="21"/>
  <c r="H40" i="21"/>
  <c r="G40" i="21"/>
  <c r="F40" i="21"/>
  <c r="E40" i="21"/>
  <c r="D40" i="21"/>
  <c r="C40" i="21"/>
  <c r="Z39" i="21"/>
  <c r="Y39" i="21"/>
  <c r="X39" i="21"/>
  <c r="W39" i="21"/>
  <c r="V39" i="21"/>
  <c r="U39" i="21"/>
  <c r="T39" i="21"/>
  <c r="S39" i="21"/>
  <c r="R39" i="21"/>
  <c r="Q39" i="21"/>
  <c r="P39" i="21"/>
  <c r="O39" i="21"/>
  <c r="N39" i="21"/>
  <c r="M39" i="21"/>
  <c r="L39" i="21"/>
  <c r="K39" i="21"/>
  <c r="J39" i="21"/>
  <c r="I39" i="21"/>
  <c r="H39" i="21"/>
  <c r="G39" i="21"/>
  <c r="F39" i="21"/>
  <c r="E39" i="21"/>
  <c r="D39" i="21"/>
  <c r="C39" i="21"/>
  <c r="Z38" i="21"/>
  <c r="Y38" i="21"/>
  <c r="X38" i="21"/>
  <c r="W38" i="21"/>
  <c r="V38" i="21"/>
  <c r="U38" i="21"/>
  <c r="T38" i="21"/>
  <c r="S38" i="21"/>
  <c r="R38" i="21"/>
  <c r="Q38" i="21"/>
  <c r="P38" i="21"/>
  <c r="O38" i="21"/>
  <c r="N38" i="21"/>
  <c r="M38" i="21"/>
  <c r="L38" i="21"/>
  <c r="K38" i="21"/>
  <c r="J38" i="21"/>
  <c r="I38" i="21"/>
  <c r="H38" i="21"/>
  <c r="G38" i="21"/>
  <c r="F38" i="21"/>
  <c r="E38" i="21"/>
  <c r="D38" i="21"/>
  <c r="C38" i="21"/>
  <c r="Z37" i="21"/>
  <c r="Y37" i="21"/>
  <c r="X37" i="21"/>
  <c r="W37" i="21"/>
  <c r="V37" i="21"/>
  <c r="U37" i="21"/>
  <c r="T37" i="21"/>
  <c r="S37" i="21"/>
  <c r="R37" i="21"/>
  <c r="Q37" i="21"/>
  <c r="P37" i="21"/>
  <c r="O37" i="21"/>
  <c r="N37" i="21"/>
  <c r="M37" i="21"/>
  <c r="L37" i="21"/>
  <c r="K37" i="21"/>
  <c r="J37" i="21"/>
  <c r="I37" i="21"/>
  <c r="H37" i="21"/>
  <c r="G37" i="21"/>
  <c r="F37" i="21"/>
  <c r="E37" i="21"/>
  <c r="D37" i="21"/>
  <c r="C37" i="21"/>
  <c r="Z36" i="21"/>
  <c r="Y36" i="21"/>
  <c r="X36" i="21"/>
  <c r="W36" i="21"/>
  <c r="V36" i="21"/>
  <c r="U36" i="21"/>
  <c r="T36" i="21"/>
  <c r="S36" i="21"/>
  <c r="R36" i="21"/>
  <c r="Q36" i="21"/>
  <c r="P36" i="21"/>
  <c r="O36" i="21"/>
  <c r="N36" i="21"/>
  <c r="M36" i="21"/>
  <c r="L36" i="21"/>
  <c r="K36" i="21"/>
  <c r="J36" i="21"/>
  <c r="I36" i="21"/>
  <c r="H36" i="21"/>
  <c r="G36" i="21"/>
  <c r="F36" i="21"/>
  <c r="E36" i="21"/>
  <c r="D36" i="21"/>
  <c r="C36" i="21"/>
  <c r="Z35" i="21"/>
  <c r="Y35" i="21"/>
  <c r="X35" i="21"/>
  <c r="W35" i="21"/>
  <c r="V35" i="21"/>
  <c r="U35" i="21"/>
  <c r="T35" i="21"/>
  <c r="S35" i="21"/>
  <c r="R35" i="21"/>
  <c r="Q35" i="21"/>
  <c r="P35" i="21"/>
  <c r="O35" i="21"/>
  <c r="N35" i="21"/>
  <c r="M35" i="21"/>
  <c r="L35" i="21"/>
  <c r="K35" i="21"/>
  <c r="J35" i="21"/>
  <c r="I35" i="21"/>
  <c r="H35" i="21"/>
  <c r="G35" i="21"/>
  <c r="F35" i="21"/>
  <c r="E35" i="21"/>
  <c r="D35" i="21"/>
  <c r="C35" i="21"/>
  <c r="Z34" i="21"/>
  <c r="Y34" i="21"/>
  <c r="X34" i="21"/>
  <c r="W34" i="21"/>
  <c r="V34" i="21"/>
  <c r="U34" i="21"/>
  <c r="T34" i="21"/>
  <c r="S34" i="21"/>
  <c r="R34" i="21"/>
  <c r="Q34" i="21"/>
  <c r="P34" i="21"/>
  <c r="O34" i="21"/>
  <c r="N34" i="21"/>
  <c r="M34" i="21"/>
  <c r="L34" i="21"/>
  <c r="K34" i="21"/>
  <c r="J34" i="21"/>
  <c r="I34" i="21"/>
  <c r="H34" i="21"/>
  <c r="G34" i="21"/>
  <c r="F34" i="21"/>
  <c r="E34" i="21"/>
  <c r="D34" i="21"/>
  <c r="C34" i="21"/>
  <c r="Z33" i="21"/>
  <c r="Y33" i="21"/>
  <c r="X33" i="21"/>
  <c r="W33" i="21"/>
  <c r="V33" i="21"/>
  <c r="U33" i="21"/>
  <c r="T33" i="21"/>
  <c r="S33" i="21"/>
  <c r="R33" i="21"/>
  <c r="Q33" i="21"/>
  <c r="P33" i="21"/>
  <c r="O33" i="21"/>
  <c r="N33" i="21"/>
  <c r="M33" i="21"/>
  <c r="L33" i="21"/>
  <c r="K33" i="21"/>
  <c r="J33" i="21"/>
  <c r="I33" i="21"/>
  <c r="H33" i="21"/>
  <c r="G33" i="21"/>
  <c r="F33" i="21"/>
  <c r="E33" i="21"/>
  <c r="D33" i="21"/>
  <c r="C33" i="21"/>
  <c r="N42" i="21"/>
  <c r="I6" i="24" s="1"/>
  <c r="J42" i="21"/>
  <c r="G6" i="24" s="1"/>
  <c r="H42" i="21"/>
  <c r="F6" i="24" s="1"/>
  <c r="F42" i="21"/>
  <c r="E6" i="24" s="1"/>
  <c r="E24" i="24" s="1"/>
  <c r="E30" i="24" s="1"/>
  <c r="D279" i="24" s="1"/>
  <c r="F22" i="28" s="1"/>
  <c r="E27" i="24" l="1"/>
  <c r="D24" i="24"/>
  <c r="D30" i="24" s="1"/>
  <c r="D275" i="24" s="1"/>
  <c r="F21" i="28" s="1"/>
  <c r="D27" i="24"/>
  <c r="J27" i="24"/>
  <c r="L24" i="24"/>
  <c r="L30" i="24" s="1"/>
  <c r="D307" i="24" s="1"/>
  <c r="F29" i="28" s="1"/>
  <c r="L27" i="24"/>
  <c r="N24" i="24"/>
  <c r="N30" i="24" s="1"/>
  <c r="D315" i="24" s="1"/>
  <c r="F31" i="28" s="1"/>
  <c r="N27" i="24"/>
  <c r="G24" i="24"/>
  <c r="G30" i="24" s="1"/>
  <c r="G27" i="24"/>
  <c r="H27" i="24"/>
  <c r="F24" i="24"/>
  <c r="F30" i="24" s="1"/>
  <c r="F23" i="28" s="1"/>
  <c r="F27" i="24"/>
  <c r="I24" i="24"/>
  <c r="I30" i="24" s="1"/>
  <c r="D295" i="24" s="1"/>
  <c r="F26" i="28" s="1"/>
  <c r="I27" i="24"/>
  <c r="K24" i="24"/>
  <c r="K30" i="24" s="1"/>
  <c r="D303" i="24" s="1"/>
  <c r="F28" i="28" s="1"/>
  <c r="K27" i="24"/>
  <c r="M24" i="24"/>
  <c r="M30" i="24" s="1"/>
  <c r="D311" i="24" s="1"/>
  <c r="F30" i="28" s="1"/>
  <c r="M27" i="24"/>
  <c r="O24" i="24"/>
  <c r="O30" i="24" s="1"/>
  <c r="D319" i="24" s="1"/>
  <c r="F32" i="28" s="1"/>
  <c r="O27" i="24"/>
  <c r="M105" i="14"/>
  <c r="J105" i="14"/>
  <c r="H105" i="14"/>
  <c r="E105" i="14"/>
  <c r="M104" i="14"/>
  <c r="J104" i="14"/>
  <c r="I102" i="14"/>
  <c r="H102" i="14"/>
  <c r="G102" i="14"/>
  <c r="F102" i="14"/>
  <c r="M101" i="14"/>
  <c r="E101" i="14"/>
  <c r="M100" i="14"/>
  <c r="L100" i="14"/>
  <c r="J100" i="14"/>
  <c r="I100" i="14"/>
  <c r="H99" i="14"/>
  <c r="D99" i="14"/>
  <c r="C99" i="14"/>
  <c r="M70" i="14"/>
  <c r="L70" i="14"/>
  <c r="L105" i="14" s="1"/>
  <c r="J70" i="14"/>
  <c r="H70" i="14"/>
  <c r="G70" i="14"/>
  <c r="G105" i="14" s="1"/>
  <c r="E70" i="14"/>
  <c r="C69" i="14"/>
  <c r="C104" i="14" s="1"/>
  <c r="D69" i="14"/>
  <c r="D104" i="14" s="1"/>
  <c r="E69" i="14"/>
  <c r="E104" i="14" s="1"/>
  <c r="F69" i="14"/>
  <c r="F104" i="14" s="1"/>
  <c r="G69" i="14"/>
  <c r="G104" i="14" s="1"/>
  <c r="H69" i="14"/>
  <c r="H104" i="14" s="1"/>
  <c r="I69" i="14"/>
  <c r="I104" i="14" s="1"/>
  <c r="J69" i="14"/>
  <c r="K69" i="14"/>
  <c r="K104" i="14" s="1"/>
  <c r="L69" i="14"/>
  <c r="L104" i="14" s="1"/>
  <c r="M69" i="14"/>
  <c r="B69" i="14"/>
  <c r="B104" i="14" s="1"/>
  <c r="C67" i="14"/>
  <c r="D67" i="14"/>
  <c r="E67" i="14"/>
  <c r="F67" i="14"/>
  <c r="G67" i="14"/>
  <c r="H67" i="14"/>
  <c r="I67" i="14"/>
  <c r="J67" i="14"/>
  <c r="J102" i="14" s="1"/>
  <c r="K67" i="14"/>
  <c r="L67" i="14"/>
  <c r="M67" i="14"/>
  <c r="B67" i="14"/>
  <c r="L64" i="14"/>
  <c r="L99" i="14" s="1"/>
  <c r="M64" i="14"/>
  <c r="M99" i="14" s="1"/>
  <c r="L65" i="14"/>
  <c r="M65" i="14"/>
  <c r="L66" i="14"/>
  <c r="L101" i="14" s="1"/>
  <c r="M66" i="14"/>
  <c r="K66" i="14"/>
  <c r="K101" i="14" s="1"/>
  <c r="H64" i="14"/>
  <c r="I64" i="14"/>
  <c r="I99" i="14" s="1"/>
  <c r="J64" i="14"/>
  <c r="J99" i="14" s="1"/>
  <c r="K64" i="14"/>
  <c r="K99" i="14" s="1"/>
  <c r="H65" i="14"/>
  <c r="H100" i="14" s="1"/>
  <c r="I65" i="14"/>
  <c r="J65" i="14"/>
  <c r="K65" i="14"/>
  <c r="K100" i="14" s="1"/>
  <c r="E64" i="14"/>
  <c r="E99" i="14" s="1"/>
  <c r="F64" i="14"/>
  <c r="F99" i="14" s="1"/>
  <c r="G64" i="14"/>
  <c r="G99" i="14" s="1"/>
  <c r="E65" i="14"/>
  <c r="E100" i="14" s="1"/>
  <c r="F65" i="14"/>
  <c r="F100" i="14" s="1"/>
  <c r="G65" i="14"/>
  <c r="G100" i="14" s="1"/>
  <c r="E66" i="14"/>
  <c r="F66" i="14"/>
  <c r="F101" i="14" s="1"/>
  <c r="G66" i="14"/>
  <c r="G101" i="14" s="1"/>
  <c r="D65" i="14"/>
  <c r="D100" i="14" s="1"/>
  <c r="D66" i="14"/>
  <c r="D101" i="14" s="1"/>
  <c r="C64" i="14"/>
  <c r="D64" i="14"/>
  <c r="B64" i="14"/>
  <c r="B99" i="14" s="1"/>
  <c r="B38" i="14"/>
  <c r="C38" i="14"/>
  <c r="D38" i="14"/>
  <c r="E38" i="14"/>
  <c r="F38" i="14"/>
  <c r="G38" i="14"/>
  <c r="H38" i="14"/>
  <c r="B42" i="14"/>
  <c r="C42" i="14"/>
  <c r="D42" i="14"/>
  <c r="E42" i="14"/>
  <c r="F42" i="14"/>
  <c r="G42" i="14"/>
  <c r="H42" i="14"/>
  <c r="B43" i="14"/>
  <c r="C18" i="21" s="1"/>
  <c r="C43" i="14"/>
  <c r="E18" i="21" s="1"/>
  <c r="D43" i="14"/>
  <c r="G18" i="21" s="1"/>
  <c r="E43" i="14"/>
  <c r="I18" i="21" s="1"/>
  <c r="F43" i="14"/>
  <c r="K18" i="21" s="1"/>
  <c r="G43" i="14"/>
  <c r="M18" i="21" s="1"/>
  <c r="H43" i="14"/>
  <c r="O18" i="21" s="1"/>
  <c r="B44" i="14"/>
  <c r="C70" i="21" s="1"/>
  <c r="C44" i="14"/>
  <c r="E70" i="21" s="1"/>
  <c r="D44" i="14"/>
  <c r="G70" i="21" s="1"/>
  <c r="E44" i="14"/>
  <c r="I70" i="21" s="1"/>
  <c r="F44" i="14"/>
  <c r="K70" i="21" s="1"/>
  <c r="G44" i="14"/>
  <c r="M70" i="21" s="1"/>
  <c r="H44" i="14"/>
  <c r="O70" i="21" s="1"/>
  <c r="B45" i="14"/>
  <c r="C45" i="21" s="1"/>
  <c r="C45" i="14"/>
  <c r="E45" i="21" s="1"/>
  <c r="D45" i="14"/>
  <c r="G45" i="21" s="1"/>
  <c r="E45" i="14"/>
  <c r="I45" i="21" s="1"/>
  <c r="F45" i="14"/>
  <c r="K45" i="21" s="1"/>
  <c r="G45" i="14"/>
  <c r="M45" i="21" s="1"/>
  <c r="H45" i="14"/>
  <c r="O45" i="21" s="1"/>
  <c r="B46" i="14"/>
  <c r="C95" i="21" s="1"/>
  <c r="C46" i="14"/>
  <c r="E95" i="21" s="1"/>
  <c r="D46" i="14"/>
  <c r="G95" i="21" s="1"/>
  <c r="E46" i="14"/>
  <c r="I95" i="21" s="1"/>
  <c r="F46" i="14"/>
  <c r="K95" i="21" s="1"/>
  <c r="G46" i="14"/>
  <c r="M95" i="21" s="1"/>
  <c r="H46" i="14"/>
  <c r="O95" i="21" s="1"/>
  <c r="B47" i="14"/>
  <c r="C20" i="21" s="1"/>
  <c r="C47" i="14"/>
  <c r="E20" i="21" s="1"/>
  <c r="D47" i="14"/>
  <c r="G20" i="21" s="1"/>
  <c r="E47" i="14"/>
  <c r="I20" i="21" s="1"/>
  <c r="F47" i="14"/>
  <c r="K20" i="21" s="1"/>
  <c r="G47" i="14"/>
  <c r="M20" i="21" s="1"/>
  <c r="H47" i="14"/>
  <c r="O20" i="21" s="1"/>
  <c r="B48" i="14"/>
  <c r="C19" i="21" s="1"/>
  <c r="C48" i="14"/>
  <c r="E19" i="21" s="1"/>
  <c r="D48" i="14"/>
  <c r="G19" i="21" s="1"/>
  <c r="E48" i="14"/>
  <c r="I19" i="21" s="1"/>
  <c r="F48" i="14"/>
  <c r="K19" i="21" s="1"/>
  <c r="G48" i="14"/>
  <c r="M19" i="21" s="1"/>
  <c r="H48" i="14"/>
  <c r="O19" i="21" s="1"/>
  <c r="D49" i="14"/>
  <c r="G176" i="21" s="1"/>
  <c r="E49" i="14"/>
  <c r="I176" i="21" s="1"/>
  <c r="F49" i="14"/>
  <c r="K176" i="21" s="1"/>
  <c r="G49" i="14"/>
  <c r="M176" i="21" s="1"/>
  <c r="H49" i="14"/>
  <c r="O176" i="21" s="1"/>
  <c r="D51" i="14"/>
  <c r="E51" i="14"/>
  <c r="F51" i="14"/>
  <c r="G51" i="14"/>
  <c r="H51" i="14"/>
  <c r="I62" i="16"/>
  <c r="I61" i="16"/>
  <c r="I60" i="16"/>
  <c r="I59" i="16"/>
  <c r="I58" i="16"/>
  <c r="I57" i="16"/>
  <c r="I56" i="16"/>
  <c r="I55" i="16"/>
  <c r="I54" i="16"/>
  <c r="I53" i="16"/>
  <c r="F62" i="16"/>
  <c r="F61" i="16"/>
  <c r="F60" i="16"/>
  <c r="F59" i="16"/>
  <c r="F58" i="16"/>
  <c r="F57" i="16"/>
  <c r="F56" i="16"/>
  <c r="F55" i="16"/>
  <c r="F54" i="16"/>
  <c r="F53" i="16"/>
  <c r="O49" i="16"/>
  <c r="O48" i="16"/>
  <c r="O47" i="16"/>
  <c r="O46" i="16"/>
  <c r="O45" i="16"/>
  <c r="O44" i="16"/>
  <c r="O43" i="16"/>
  <c r="O42" i="16"/>
  <c r="O41" i="16"/>
  <c r="O40" i="16"/>
  <c r="L49" i="16"/>
  <c r="L48" i="16"/>
  <c r="L47" i="16"/>
  <c r="L46" i="16"/>
  <c r="L45" i="16"/>
  <c r="L44" i="16"/>
  <c r="L43" i="16"/>
  <c r="L42" i="16"/>
  <c r="L41" i="16"/>
  <c r="L40" i="16"/>
  <c r="I49" i="16"/>
  <c r="I48" i="16"/>
  <c r="I47" i="16"/>
  <c r="I46" i="16"/>
  <c r="I45" i="16"/>
  <c r="I44" i="16"/>
  <c r="I43" i="16"/>
  <c r="I42" i="16"/>
  <c r="I41" i="16"/>
  <c r="I40" i="16"/>
  <c r="F40" i="16"/>
  <c r="F49" i="16"/>
  <c r="F48" i="16"/>
  <c r="F47" i="16"/>
  <c r="F46" i="16"/>
  <c r="F45" i="16"/>
  <c r="F44" i="16"/>
  <c r="F43" i="16"/>
  <c r="F42" i="16"/>
  <c r="F41" i="16"/>
  <c r="U25" i="15"/>
  <c r="U24" i="15"/>
  <c r="U23" i="15"/>
  <c r="U22" i="15"/>
  <c r="U21" i="15"/>
  <c r="U20" i="15"/>
  <c r="U19" i="15"/>
  <c r="U18" i="15"/>
  <c r="U17" i="15"/>
  <c r="U16" i="15"/>
  <c r="R25" i="15"/>
  <c r="R24" i="15"/>
  <c r="R23" i="15"/>
  <c r="R22" i="15"/>
  <c r="R21" i="15"/>
  <c r="R20" i="15"/>
  <c r="R19" i="15"/>
  <c r="R18" i="15"/>
  <c r="R17" i="15"/>
  <c r="R16" i="15"/>
  <c r="O25" i="15"/>
  <c r="O24" i="15"/>
  <c r="O23" i="15"/>
  <c r="O22" i="15"/>
  <c r="O21" i="15"/>
  <c r="O20" i="15"/>
  <c r="O19" i="15"/>
  <c r="O18" i="15"/>
  <c r="O17" i="15"/>
  <c r="O16" i="15"/>
  <c r="L25" i="15"/>
  <c r="L24" i="15"/>
  <c r="L23" i="15"/>
  <c r="L22" i="15"/>
  <c r="L21" i="15"/>
  <c r="L20" i="15"/>
  <c r="L19" i="15"/>
  <c r="L18" i="15"/>
  <c r="L17" i="15"/>
  <c r="L16" i="15"/>
  <c r="I25" i="15"/>
  <c r="I24" i="15"/>
  <c r="I23" i="15"/>
  <c r="I22" i="15"/>
  <c r="I21" i="15"/>
  <c r="I20" i="15"/>
  <c r="I19" i="15"/>
  <c r="I18" i="15"/>
  <c r="I17" i="15"/>
  <c r="I16" i="15"/>
  <c r="F16" i="15"/>
  <c r="F25" i="15"/>
  <c r="F24" i="15"/>
  <c r="F23" i="15"/>
  <c r="F22" i="15"/>
  <c r="F21" i="15"/>
  <c r="F20" i="15"/>
  <c r="F19" i="15"/>
  <c r="F18" i="15"/>
  <c r="F17" i="15"/>
  <c r="I39" i="15"/>
  <c r="I38" i="15"/>
  <c r="I37" i="15"/>
  <c r="I36" i="15"/>
  <c r="I35" i="15"/>
  <c r="I34" i="15"/>
  <c r="I33" i="15"/>
  <c r="I32" i="15"/>
  <c r="I31" i="15"/>
  <c r="I30" i="15"/>
  <c r="F31" i="15"/>
  <c r="F32" i="15"/>
  <c r="F33" i="15"/>
  <c r="F34" i="15"/>
  <c r="F35" i="15"/>
  <c r="F36" i="15"/>
  <c r="F37" i="15"/>
  <c r="F38" i="15"/>
  <c r="F39" i="15"/>
  <c r="F30" i="15"/>
  <c r="B73" i="14"/>
  <c r="C73" i="14"/>
  <c r="D73" i="14"/>
  <c r="E73" i="14"/>
  <c r="F73" i="14"/>
  <c r="G73" i="14"/>
  <c r="H73" i="14"/>
  <c r="I73" i="14"/>
  <c r="J73" i="14"/>
  <c r="K73" i="14"/>
  <c r="L73" i="14"/>
  <c r="M73" i="14"/>
  <c r="B77" i="14"/>
  <c r="C77" i="14"/>
  <c r="D77" i="14"/>
  <c r="E77" i="14"/>
  <c r="F77" i="14"/>
  <c r="G77" i="14"/>
  <c r="H77" i="14"/>
  <c r="I77" i="14"/>
  <c r="J77" i="14"/>
  <c r="K77" i="14"/>
  <c r="L77" i="14"/>
  <c r="M77" i="14"/>
  <c r="B78" i="14"/>
  <c r="C18" i="22" s="1"/>
  <c r="C78" i="14"/>
  <c r="E18" i="22" s="1"/>
  <c r="D78" i="14"/>
  <c r="G18" i="22" s="1"/>
  <c r="E78" i="14"/>
  <c r="I18" i="22" s="1"/>
  <c r="F78" i="14"/>
  <c r="K18" i="22" s="1"/>
  <c r="G78" i="14"/>
  <c r="M18" i="22" s="1"/>
  <c r="H78" i="14"/>
  <c r="O18" i="22" s="1"/>
  <c r="I78" i="14"/>
  <c r="Q18" i="22" s="1"/>
  <c r="J78" i="14"/>
  <c r="S18" i="22" s="1"/>
  <c r="K78" i="14"/>
  <c r="U18" i="22" s="1"/>
  <c r="L78" i="14"/>
  <c r="W18" i="22" s="1"/>
  <c r="M78" i="14"/>
  <c r="Y18" i="22" s="1"/>
  <c r="B79" i="14"/>
  <c r="C70" i="22" s="1"/>
  <c r="C79" i="14"/>
  <c r="E70" i="22" s="1"/>
  <c r="D79" i="14"/>
  <c r="G70" i="22" s="1"/>
  <c r="E79" i="14"/>
  <c r="I70" i="22" s="1"/>
  <c r="F79" i="14"/>
  <c r="K70" i="22" s="1"/>
  <c r="G79" i="14"/>
  <c r="M70" i="22" s="1"/>
  <c r="H79" i="14"/>
  <c r="O70" i="22" s="1"/>
  <c r="I79" i="14"/>
  <c r="Q70" i="22" s="1"/>
  <c r="J79" i="14"/>
  <c r="S70" i="22" s="1"/>
  <c r="K79" i="14"/>
  <c r="U70" i="22" s="1"/>
  <c r="L79" i="14"/>
  <c r="W70" i="22" s="1"/>
  <c r="M79" i="14"/>
  <c r="Y70" i="22" s="1"/>
  <c r="B80" i="14"/>
  <c r="C45" i="22" s="1"/>
  <c r="C80" i="14"/>
  <c r="E45" i="22" s="1"/>
  <c r="D80" i="14"/>
  <c r="G45" i="22" s="1"/>
  <c r="E80" i="14"/>
  <c r="I45" i="22" s="1"/>
  <c r="F80" i="14"/>
  <c r="K45" i="22" s="1"/>
  <c r="G80" i="14"/>
  <c r="M45" i="22" s="1"/>
  <c r="H80" i="14"/>
  <c r="O45" i="22" s="1"/>
  <c r="I80" i="14"/>
  <c r="Q45" i="22" s="1"/>
  <c r="J80" i="14"/>
  <c r="S45" i="22" s="1"/>
  <c r="K80" i="14"/>
  <c r="U45" i="22" s="1"/>
  <c r="L80" i="14"/>
  <c r="W45" i="22" s="1"/>
  <c r="M80" i="14"/>
  <c r="Y45" i="22" s="1"/>
  <c r="B81" i="14"/>
  <c r="C95" i="22" s="1"/>
  <c r="C81" i="14"/>
  <c r="E95" i="22" s="1"/>
  <c r="D81" i="14"/>
  <c r="G95" i="22" s="1"/>
  <c r="E81" i="14"/>
  <c r="I95" i="22" s="1"/>
  <c r="F81" i="14"/>
  <c r="K95" i="22" s="1"/>
  <c r="G81" i="14"/>
  <c r="M95" i="22" s="1"/>
  <c r="H81" i="14"/>
  <c r="O95" i="22" s="1"/>
  <c r="I81" i="14"/>
  <c r="Q95" i="22" s="1"/>
  <c r="J81" i="14"/>
  <c r="S95" i="22" s="1"/>
  <c r="K81" i="14"/>
  <c r="U95" i="22" s="1"/>
  <c r="L81" i="14"/>
  <c r="W95" i="22" s="1"/>
  <c r="M81" i="14"/>
  <c r="Y95" i="22" s="1"/>
  <c r="B82" i="14"/>
  <c r="C20" i="22" s="1"/>
  <c r="C82" i="14"/>
  <c r="E20" i="22" s="1"/>
  <c r="D82" i="14"/>
  <c r="G20" i="22" s="1"/>
  <c r="E82" i="14"/>
  <c r="I20" i="22" s="1"/>
  <c r="F82" i="14"/>
  <c r="K20" i="22" s="1"/>
  <c r="G82" i="14"/>
  <c r="M20" i="22" s="1"/>
  <c r="H82" i="14"/>
  <c r="O20" i="22" s="1"/>
  <c r="I82" i="14"/>
  <c r="Q20" i="22" s="1"/>
  <c r="J82" i="14"/>
  <c r="S20" i="22" s="1"/>
  <c r="K82" i="14"/>
  <c r="U20" i="22" s="1"/>
  <c r="L82" i="14"/>
  <c r="W20" i="22" s="1"/>
  <c r="M82" i="14"/>
  <c r="Y20" i="22" s="1"/>
  <c r="B83" i="14"/>
  <c r="C19" i="22" s="1"/>
  <c r="C83" i="14"/>
  <c r="E19" i="22" s="1"/>
  <c r="D83" i="14"/>
  <c r="G19" i="22" s="1"/>
  <c r="E83" i="14"/>
  <c r="I19" i="22" s="1"/>
  <c r="F83" i="14"/>
  <c r="K19" i="22" s="1"/>
  <c r="G83" i="14"/>
  <c r="M19" i="22" s="1"/>
  <c r="H83" i="14"/>
  <c r="O19" i="22" s="1"/>
  <c r="I83" i="14"/>
  <c r="Q19" i="22" s="1"/>
  <c r="J83" i="14"/>
  <c r="S19" i="22" s="1"/>
  <c r="K83" i="14"/>
  <c r="U19" i="22" s="1"/>
  <c r="L83" i="14"/>
  <c r="W19" i="22" s="1"/>
  <c r="M83" i="14"/>
  <c r="Y19" i="22" s="1"/>
  <c r="B88" i="14"/>
  <c r="C88" i="14"/>
  <c r="D88" i="14"/>
  <c r="E88" i="14"/>
  <c r="F88" i="14"/>
  <c r="G88" i="14"/>
  <c r="H88" i="14"/>
  <c r="I88" i="14"/>
  <c r="J88" i="14"/>
  <c r="K88" i="14"/>
  <c r="L88" i="14"/>
  <c r="M88" i="14"/>
  <c r="B89" i="14"/>
  <c r="C89" i="14"/>
  <c r="D89" i="14"/>
  <c r="E89" i="14"/>
  <c r="F89" i="14"/>
  <c r="G89" i="14"/>
  <c r="H89" i="14"/>
  <c r="I89" i="14"/>
  <c r="J89" i="14"/>
  <c r="K89" i="14"/>
  <c r="L89" i="14"/>
  <c r="M89" i="14"/>
  <c r="B90" i="14"/>
  <c r="C90" i="14"/>
  <c r="D90" i="14"/>
  <c r="E90" i="14"/>
  <c r="F90" i="14"/>
  <c r="G90" i="14"/>
  <c r="H90" i="14"/>
  <c r="I90" i="14"/>
  <c r="J90" i="14"/>
  <c r="K90" i="14"/>
  <c r="L90" i="14"/>
  <c r="M90" i="14"/>
  <c r="B91" i="14"/>
  <c r="C91" i="14"/>
  <c r="B92" i="14"/>
  <c r="C92" i="14"/>
  <c r="D92" i="14"/>
  <c r="E92" i="14"/>
  <c r="F92" i="14"/>
  <c r="G92" i="14"/>
  <c r="H92" i="14"/>
  <c r="I92" i="14"/>
  <c r="J92" i="14"/>
  <c r="K92" i="14"/>
  <c r="L92" i="14"/>
  <c r="M92" i="14"/>
  <c r="B93" i="14"/>
  <c r="C93" i="14"/>
  <c r="D93" i="14"/>
  <c r="E93" i="14"/>
  <c r="F93" i="14"/>
  <c r="G93" i="14"/>
  <c r="H93" i="14"/>
  <c r="I93" i="14"/>
  <c r="J93" i="14"/>
  <c r="K93" i="14"/>
  <c r="L93" i="14"/>
  <c r="M93" i="14"/>
  <c r="B94" i="14"/>
  <c r="C94" i="14"/>
  <c r="D94" i="14"/>
  <c r="E94" i="14"/>
  <c r="F94" i="14"/>
  <c r="G94" i="14"/>
  <c r="H94" i="14"/>
  <c r="I94" i="14"/>
  <c r="J94" i="14"/>
  <c r="K94" i="14"/>
  <c r="L94" i="14"/>
  <c r="M94" i="14"/>
  <c r="B95" i="14"/>
  <c r="C97" i="22" s="1"/>
  <c r="C95" i="14"/>
  <c r="E97" i="22" s="1"/>
  <c r="D95" i="14"/>
  <c r="G97" i="22" s="1"/>
  <c r="E95" i="14"/>
  <c r="I97" i="22" s="1"/>
  <c r="F95" i="14"/>
  <c r="K97" i="22" s="1"/>
  <c r="G95" i="14"/>
  <c r="M97" i="22" s="1"/>
  <c r="H95" i="14"/>
  <c r="O97" i="22" s="1"/>
  <c r="I95" i="14"/>
  <c r="Q97" i="22" s="1"/>
  <c r="J95" i="14"/>
  <c r="S97" i="22" s="1"/>
  <c r="K95" i="14"/>
  <c r="U97" i="22" s="1"/>
  <c r="L95" i="14"/>
  <c r="W97" i="22" s="1"/>
  <c r="M95" i="14"/>
  <c r="Y97" i="22" s="1"/>
  <c r="B96" i="14"/>
  <c r="C96" i="14"/>
  <c r="D96" i="14"/>
  <c r="E96" i="14"/>
  <c r="F96" i="14"/>
  <c r="G96" i="14"/>
  <c r="H96" i="14"/>
  <c r="I96" i="14"/>
  <c r="J96" i="14"/>
  <c r="K96" i="14"/>
  <c r="L96" i="14"/>
  <c r="M96" i="14"/>
  <c r="B97" i="14"/>
  <c r="C97" i="14"/>
  <c r="D97" i="14"/>
  <c r="E97" i="14"/>
  <c r="F97" i="14"/>
  <c r="G97" i="14"/>
  <c r="H97" i="14"/>
  <c r="I97" i="14"/>
  <c r="J97" i="14"/>
  <c r="K97" i="14"/>
  <c r="L97" i="14"/>
  <c r="M97" i="14"/>
  <c r="A75" i="14"/>
  <c r="A77" i="14"/>
  <c r="A78" i="14"/>
  <c r="A79" i="14"/>
  <c r="A80" i="14"/>
  <c r="A81" i="14"/>
  <c r="A82" i="14"/>
  <c r="A83" i="14"/>
  <c r="A84" i="14"/>
  <c r="A85" i="14"/>
  <c r="A86" i="14"/>
  <c r="A87" i="14"/>
  <c r="A88" i="14"/>
  <c r="A89" i="14"/>
  <c r="A90" i="14"/>
  <c r="A91" i="14"/>
  <c r="A92" i="14"/>
  <c r="A93" i="14"/>
  <c r="A94" i="14"/>
  <c r="A95" i="14"/>
  <c r="A96" i="14"/>
  <c r="A97" i="14"/>
  <c r="I49" i="14"/>
  <c r="Q176" i="21" s="1"/>
  <c r="J49" i="14"/>
  <c r="S176" i="21" s="1"/>
  <c r="K49" i="14"/>
  <c r="U176" i="21" s="1"/>
  <c r="L49" i="14"/>
  <c r="W176" i="21" s="1"/>
  <c r="M49" i="14"/>
  <c r="Y176" i="21" s="1"/>
  <c r="I51" i="14"/>
  <c r="J51" i="14"/>
  <c r="K51" i="14"/>
  <c r="L51" i="14"/>
  <c r="M51" i="14"/>
  <c r="I38" i="14"/>
  <c r="J38" i="14"/>
  <c r="K38" i="14"/>
  <c r="L38" i="14"/>
  <c r="M38" i="14"/>
  <c r="I42" i="14"/>
  <c r="J42" i="14"/>
  <c r="K42" i="14"/>
  <c r="L42" i="14"/>
  <c r="M42" i="14"/>
  <c r="I43" i="14"/>
  <c r="Q18" i="21" s="1"/>
  <c r="J43" i="14"/>
  <c r="S18" i="21" s="1"/>
  <c r="K43" i="14"/>
  <c r="U18" i="21" s="1"/>
  <c r="L43" i="14"/>
  <c r="W18" i="21" s="1"/>
  <c r="M43" i="14"/>
  <c r="Y18" i="21" s="1"/>
  <c r="I44" i="14"/>
  <c r="Q70" i="21" s="1"/>
  <c r="J44" i="14"/>
  <c r="S70" i="21" s="1"/>
  <c r="K44" i="14"/>
  <c r="U70" i="21" s="1"/>
  <c r="L44" i="14"/>
  <c r="W70" i="21" s="1"/>
  <c r="M44" i="14"/>
  <c r="Y70" i="21" s="1"/>
  <c r="I45" i="14"/>
  <c r="Q45" i="21" s="1"/>
  <c r="J45" i="14"/>
  <c r="S45" i="21" s="1"/>
  <c r="K45" i="14"/>
  <c r="U45" i="21" s="1"/>
  <c r="L45" i="14"/>
  <c r="W45" i="21" s="1"/>
  <c r="M45" i="14"/>
  <c r="Y45" i="21" s="1"/>
  <c r="I46" i="14"/>
  <c r="Q95" i="21" s="1"/>
  <c r="J46" i="14"/>
  <c r="S95" i="21" s="1"/>
  <c r="K46" i="14"/>
  <c r="U95" i="21" s="1"/>
  <c r="L46" i="14"/>
  <c r="W95" i="21" s="1"/>
  <c r="M46" i="14"/>
  <c r="Y95" i="21" s="1"/>
  <c r="I47" i="14"/>
  <c r="Q20" i="21" s="1"/>
  <c r="J47" i="14"/>
  <c r="S20" i="21" s="1"/>
  <c r="K47" i="14"/>
  <c r="U20" i="21" s="1"/>
  <c r="L47" i="14"/>
  <c r="W20" i="21" s="1"/>
  <c r="M47" i="14"/>
  <c r="Y20" i="21" s="1"/>
  <c r="I48" i="14"/>
  <c r="Q19" i="21" s="1"/>
  <c r="J48" i="14"/>
  <c r="S19" i="21" s="1"/>
  <c r="K48" i="14"/>
  <c r="U19" i="21" s="1"/>
  <c r="L48" i="14"/>
  <c r="W19" i="21" s="1"/>
  <c r="M48" i="14"/>
  <c r="Y19" i="21" s="1"/>
  <c r="B53" i="14"/>
  <c r="C53" i="14"/>
  <c r="D53" i="14"/>
  <c r="E53" i="14"/>
  <c r="F53" i="14"/>
  <c r="G53" i="14"/>
  <c r="H53" i="14"/>
  <c r="I53" i="14"/>
  <c r="J53" i="14"/>
  <c r="K53" i="14"/>
  <c r="L53" i="14"/>
  <c r="M53" i="14"/>
  <c r="B54" i="14"/>
  <c r="C54" i="14"/>
  <c r="D54" i="14"/>
  <c r="E54" i="14"/>
  <c r="F54" i="14"/>
  <c r="G54" i="14"/>
  <c r="H54" i="14"/>
  <c r="I54" i="14"/>
  <c r="J54" i="14"/>
  <c r="K54" i="14"/>
  <c r="L54" i="14"/>
  <c r="M54" i="14"/>
  <c r="B55" i="14"/>
  <c r="C55" i="14"/>
  <c r="D55" i="14"/>
  <c r="E55" i="14"/>
  <c r="F55" i="14"/>
  <c r="G55" i="14"/>
  <c r="H55" i="14"/>
  <c r="I55" i="14"/>
  <c r="J55" i="14"/>
  <c r="K55" i="14"/>
  <c r="L55" i="14"/>
  <c r="M55" i="14"/>
  <c r="B56" i="14"/>
  <c r="C56" i="14"/>
  <c r="D56" i="14"/>
  <c r="E56" i="14"/>
  <c r="F56" i="14"/>
  <c r="G56" i="14"/>
  <c r="H56" i="14"/>
  <c r="I56" i="14"/>
  <c r="J56" i="14"/>
  <c r="K56" i="14"/>
  <c r="L56" i="14"/>
  <c r="M56" i="14"/>
  <c r="B57" i="14"/>
  <c r="C57" i="14"/>
  <c r="D57" i="14"/>
  <c r="E57" i="14"/>
  <c r="F57" i="14"/>
  <c r="G57" i="14"/>
  <c r="H57" i="14"/>
  <c r="I57" i="14"/>
  <c r="J57" i="14"/>
  <c r="K57" i="14"/>
  <c r="L57" i="14"/>
  <c r="M57" i="14"/>
  <c r="B58" i="14"/>
  <c r="C58" i="14"/>
  <c r="D58" i="14"/>
  <c r="E58" i="14"/>
  <c r="F58" i="14"/>
  <c r="G58" i="14"/>
  <c r="H58" i="14"/>
  <c r="I58" i="14"/>
  <c r="J58" i="14"/>
  <c r="K58" i="14"/>
  <c r="L58" i="14"/>
  <c r="M58" i="14"/>
  <c r="B59" i="14"/>
  <c r="C59" i="14"/>
  <c r="D59" i="14"/>
  <c r="E59" i="14"/>
  <c r="F59" i="14"/>
  <c r="G59" i="14"/>
  <c r="H59" i="14"/>
  <c r="I59" i="14"/>
  <c r="J59" i="14"/>
  <c r="K59" i="14"/>
  <c r="L59" i="14"/>
  <c r="M59" i="14"/>
  <c r="B60" i="14"/>
  <c r="C97" i="21" s="1"/>
  <c r="C60" i="14"/>
  <c r="E97" i="21" s="1"/>
  <c r="D60" i="14"/>
  <c r="G97" i="21" s="1"/>
  <c r="E60" i="14"/>
  <c r="I99" i="21" s="1"/>
  <c r="F60" i="14"/>
  <c r="K99" i="21" s="1"/>
  <c r="G60" i="14"/>
  <c r="M99" i="21" s="1"/>
  <c r="H60" i="14"/>
  <c r="O99" i="21" s="1"/>
  <c r="I60" i="14"/>
  <c r="Q99" i="21" s="1"/>
  <c r="J60" i="14"/>
  <c r="S99" i="21" s="1"/>
  <c r="K60" i="14"/>
  <c r="U99" i="21" s="1"/>
  <c r="L60" i="14"/>
  <c r="W99" i="21" s="1"/>
  <c r="M60" i="14"/>
  <c r="Y99" i="21" s="1"/>
  <c r="B61" i="14"/>
  <c r="C61" i="14"/>
  <c r="D61" i="14"/>
  <c r="E61" i="14"/>
  <c r="F61" i="14"/>
  <c r="G61" i="14"/>
  <c r="H61" i="14"/>
  <c r="I61" i="14"/>
  <c r="J61" i="14"/>
  <c r="K61" i="14"/>
  <c r="L61" i="14"/>
  <c r="M61" i="14"/>
  <c r="B62" i="14"/>
  <c r="C62" i="14"/>
  <c r="D62" i="14"/>
  <c r="E62" i="14"/>
  <c r="F62" i="14"/>
  <c r="G62" i="14"/>
  <c r="H62" i="14"/>
  <c r="I62" i="14"/>
  <c r="J62" i="14"/>
  <c r="K62" i="14"/>
  <c r="L62" i="14"/>
  <c r="M62" i="14"/>
  <c r="A40" i="14"/>
  <c r="A42" i="14"/>
  <c r="A43" i="14"/>
  <c r="A44" i="14"/>
  <c r="A45" i="14"/>
  <c r="A46" i="14"/>
  <c r="A47" i="14"/>
  <c r="A48" i="14"/>
  <c r="A49" i="14"/>
  <c r="A50" i="14"/>
  <c r="A51" i="14"/>
  <c r="A52" i="14"/>
  <c r="A53" i="14"/>
  <c r="A54" i="14"/>
  <c r="A55" i="14"/>
  <c r="A56" i="14"/>
  <c r="A57" i="14"/>
  <c r="A58" i="14"/>
  <c r="A59" i="14"/>
  <c r="A60" i="14"/>
  <c r="A61" i="14"/>
  <c r="A62" i="14"/>
  <c r="D14" i="14"/>
  <c r="G176" i="20" s="1"/>
  <c r="E14" i="14"/>
  <c r="I176" i="20" s="1"/>
  <c r="F14" i="14"/>
  <c r="K176" i="20" s="1"/>
  <c r="G14" i="14"/>
  <c r="M176" i="20" s="1"/>
  <c r="H14" i="14"/>
  <c r="O176" i="20" s="1"/>
  <c r="I14" i="14"/>
  <c r="Q176" i="20" s="1"/>
  <c r="J14" i="14"/>
  <c r="S176" i="20" s="1"/>
  <c r="K14" i="14"/>
  <c r="U176" i="20" s="1"/>
  <c r="L14" i="14"/>
  <c r="W176" i="20" s="1"/>
  <c r="M14" i="14"/>
  <c r="Y176" i="20" s="1"/>
  <c r="D15" i="14"/>
  <c r="E15" i="14"/>
  <c r="F15" i="14"/>
  <c r="G15" i="14"/>
  <c r="H15" i="14"/>
  <c r="I15" i="14"/>
  <c r="J15" i="14"/>
  <c r="K15" i="14"/>
  <c r="L15" i="14"/>
  <c r="M15" i="14"/>
  <c r="D16" i="14"/>
  <c r="E16" i="14"/>
  <c r="F16" i="14"/>
  <c r="G16" i="14"/>
  <c r="H16" i="14"/>
  <c r="I16" i="14"/>
  <c r="J16" i="14"/>
  <c r="K16" i="14"/>
  <c r="L16" i="14"/>
  <c r="M16" i="14"/>
  <c r="B4" i="14"/>
  <c r="C4" i="14"/>
  <c r="D4" i="14"/>
  <c r="E4" i="14"/>
  <c r="F4" i="14"/>
  <c r="G4" i="14"/>
  <c r="H4" i="14"/>
  <c r="I4" i="14"/>
  <c r="J4" i="14"/>
  <c r="K4" i="14"/>
  <c r="L4" i="14"/>
  <c r="M4" i="14"/>
  <c r="B7" i="14"/>
  <c r="C7" i="14"/>
  <c r="D7" i="14"/>
  <c r="E7" i="14"/>
  <c r="F7" i="14"/>
  <c r="G7" i="14"/>
  <c r="H7" i="14"/>
  <c r="I7" i="14"/>
  <c r="J7" i="14"/>
  <c r="K7" i="14"/>
  <c r="L7" i="14"/>
  <c r="M7" i="14"/>
  <c r="B8" i="14"/>
  <c r="C18" i="20" s="1"/>
  <c r="C8" i="14"/>
  <c r="E18" i="20" s="1"/>
  <c r="D8" i="14"/>
  <c r="G18" i="20" s="1"/>
  <c r="E8" i="14"/>
  <c r="I18" i="20" s="1"/>
  <c r="F8" i="14"/>
  <c r="K18" i="20" s="1"/>
  <c r="G8" i="14"/>
  <c r="M18" i="20" s="1"/>
  <c r="H8" i="14"/>
  <c r="O18" i="20" s="1"/>
  <c r="I8" i="14"/>
  <c r="Q18" i="20" s="1"/>
  <c r="J8" i="14"/>
  <c r="S18" i="20" s="1"/>
  <c r="K8" i="14"/>
  <c r="U18" i="20" s="1"/>
  <c r="L8" i="14"/>
  <c r="W18" i="20" s="1"/>
  <c r="M8" i="14"/>
  <c r="Y18" i="20" s="1"/>
  <c r="B9" i="14"/>
  <c r="C70" i="20" s="1"/>
  <c r="C9" i="14"/>
  <c r="E70" i="20" s="1"/>
  <c r="D9" i="14"/>
  <c r="G70" i="20" s="1"/>
  <c r="E9" i="14"/>
  <c r="I70" i="20" s="1"/>
  <c r="F9" i="14"/>
  <c r="K70" i="20" s="1"/>
  <c r="G9" i="14"/>
  <c r="M70" i="20" s="1"/>
  <c r="H9" i="14"/>
  <c r="O70" i="20" s="1"/>
  <c r="I9" i="14"/>
  <c r="Q70" i="20" s="1"/>
  <c r="J9" i="14"/>
  <c r="S70" i="20" s="1"/>
  <c r="K9" i="14"/>
  <c r="U70" i="20" s="1"/>
  <c r="L9" i="14"/>
  <c r="W70" i="20" s="1"/>
  <c r="M9" i="14"/>
  <c r="Y70" i="20" s="1"/>
  <c r="B10" i="14"/>
  <c r="C45" i="20" s="1"/>
  <c r="C10" i="14"/>
  <c r="E45" i="20" s="1"/>
  <c r="D10" i="14"/>
  <c r="G45" i="20" s="1"/>
  <c r="E10" i="14"/>
  <c r="I45" i="20" s="1"/>
  <c r="F10" i="14"/>
  <c r="K45" i="20" s="1"/>
  <c r="G10" i="14"/>
  <c r="M45" i="20" s="1"/>
  <c r="H10" i="14"/>
  <c r="O45" i="20" s="1"/>
  <c r="I10" i="14"/>
  <c r="Q45" i="20" s="1"/>
  <c r="J10" i="14"/>
  <c r="S45" i="20" s="1"/>
  <c r="K10" i="14"/>
  <c r="U45" i="20" s="1"/>
  <c r="L10" i="14"/>
  <c r="W45" i="20" s="1"/>
  <c r="M10" i="14"/>
  <c r="Y45" i="20" s="1"/>
  <c r="B11" i="14"/>
  <c r="C95" i="20" s="1"/>
  <c r="C11" i="14"/>
  <c r="E95" i="20" s="1"/>
  <c r="D11" i="14"/>
  <c r="G95" i="20" s="1"/>
  <c r="E11" i="14"/>
  <c r="I95" i="20" s="1"/>
  <c r="F11" i="14"/>
  <c r="K95" i="20" s="1"/>
  <c r="G11" i="14"/>
  <c r="M95" i="20" s="1"/>
  <c r="H11" i="14"/>
  <c r="O95" i="20" s="1"/>
  <c r="I11" i="14"/>
  <c r="Q95" i="20" s="1"/>
  <c r="J11" i="14"/>
  <c r="S95" i="20" s="1"/>
  <c r="K11" i="14"/>
  <c r="U95" i="20" s="1"/>
  <c r="L11" i="14"/>
  <c r="W95" i="20" s="1"/>
  <c r="M11" i="14"/>
  <c r="Y95" i="20" s="1"/>
  <c r="B12" i="14"/>
  <c r="C20" i="20" s="1"/>
  <c r="C12" i="14"/>
  <c r="E20" i="20" s="1"/>
  <c r="D12" i="14"/>
  <c r="G20" i="20" s="1"/>
  <c r="E12" i="14"/>
  <c r="I20" i="20" s="1"/>
  <c r="F12" i="14"/>
  <c r="K20" i="20" s="1"/>
  <c r="G12" i="14"/>
  <c r="M20" i="20" s="1"/>
  <c r="H12" i="14"/>
  <c r="O20" i="20" s="1"/>
  <c r="I12" i="14"/>
  <c r="Q20" i="20" s="1"/>
  <c r="J12" i="14"/>
  <c r="S20" i="20" s="1"/>
  <c r="K12" i="14"/>
  <c r="U20" i="20" s="1"/>
  <c r="L12" i="14"/>
  <c r="W20" i="20" s="1"/>
  <c r="M12" i="14"/>
  <c r="Y20" i="20" s="1"/>
  <c r="B13" i="14"/>
  <c r="C13" i="14"/>
  <c r="D13" i="14"/>
  <c r="E13" i="14"/>
  <c r="F13" i="14"/>
  <c r="G13" i="14"/>
  <c r="H13" i="14"/>
  <c r="I13" i="14"/>
  <c r="J13" i="14"/>
  <c r="K13" i="14"/>
  <c r="L13" i="14"/>
  <c r="M13" i="14"/>
  <c r="B18" i="14"/>
  <c r="C18" i="14"/>
  <c r="D18" i="14"/>
  <c r="E18" i="14"/>
  <c r="F18" i="14"/>
  <c r="G18" i="14"/>
  <c r="H18" i="14"/>
  <c r="I18" i="14"/>
  <c r="J18" i="14"/>
  <c r="K18" i="14"/>
  <c r="L18" i="14"/>
  <c r="M18" i="14"/>
  <c r="B19" i="14"/>
  <c r="C19" i="14"/>
  <c r="D19" i="14"/>
  <c r="E19" i="14"/>
  <c r="F19" i="14"/>
  <c r="G19" i="14"/>
  <c r="H19" i="14"/>
  <c r="I19" i="14"/>
  <c r="J19" i="14"/>
  <c r="K19" i="14"/>
  <c r="L19" i="14"/>
  <c r="M19" i="14"/>
  <c r="B20" i="14"/>
  <c r="C20" i="14"/>
  <c r="D20" i="14"/>
  <c r="E20" i="14"/>
  <c r="F20" i="14"/>
  <c r="G20" i="14"/>
  <c r="H20" i="14"/>
  <c r="I20" i="14"/>
  <c r="J20" i="14"/>
  <c r="K20" i="14"/>
  <c r="L20" i="14"/>
  <c r="M20" i="14"/>
  <c r="B21" i="14"/>
  <c r="C21" i="14"/>
  <c r="D21" i="14"/>
  <c r="E21" i="14"/>
  <c r="F21" i="14"/>
  <c r="G21" i="14"/>
  <c r="H21" i="14"/>
  <c r="I21" i="14"/>
  <c r="J21" i="14"/>
  <c r="K21" i="14"/>
  <c r="L21" i="14"/>
  <c r="M21" i="14"/>
  <c r="B22" i="14"/>
  <c r="C22" i="14"/>
  <c r="D22" i="14"/>
  <c r="E22" i="14"/>
  <c r="F22" i="14"/>
  <c r="G22" i="14"/>
  <c r="H22" i="14"/>
  <c r="I22" i="14"/>
  <c r="J22" i="14"/>
  <c r="K22" i="14"/>
  <c r="L22" i="14"/>
  <c r="M22" i="14"/>
  <c r="B23" i="14"/>
  <c r="C23" i="14"/>
  <c r="D23" i="14"/>
  <c r="E23" i="14"/>
  <c r="F23" i="14"/>
  <c r="G23" i="14"/>
  <c r="H23" i="14"/>
  <c r="I23" i="14"/>
  <c r="J23" i="14"/>
  <c r="K23" i="14"/>
  <c r="L23" i="14"/>
  <c r="M23" i="14"/>
  <c r="B24" i="14"/>
  <c r="C24" i="14"/>
  <c r="D24" i="14"/>
  <c r="E24" i="14"/>
  <c r="F24" i="14"/>
  <c r="G24" i="14"/>
  <c r="H24" i="14"/>
  <c r="I24" i="14"/>
  <c r="J24" i="14"/>
  <c r="K24" i="14"/>
  <c r="L24" i="14"/>
  <c r="M24" i="14"/>
  <c r="B25" i="14"/>
  <c r="C97" i="20" s="1"/>
  <c r="C25" i="14"/>
  <c r="E97" i="20" s="1"/>
  <c r="D25" i="14"/>
  <c r="G97" i="20" s="1"/>
  <c r="E25" i="14"/>
  <c r="I99" i="20" s="1"/>
  <c r="F25" i="14"/>
  <c r="K99" i="20" s="1"/>
  <c r="G25" i="14"/>
  <c r="M99" i="20" s="1"/>
  <c r="H25" i="14"/>
  <c r="O99" i="20" s="1"/>
  <c r="I25" i="14"/>
  <c r="Q99" i="20" s="1"/>
  <c r="J25" i="14"/>
  <c r="S99" i="20" s="1"/>
  <c r="K25" i="14"/>
  <c r="U99" i="20" s="1"/>
  <c r="L25" i="14"/>
  <c r="W99" i="20" s="1"/>
  <c r="M25" i="14"/>
  <c r="Y99" i="20" s="1"/>
  <c r="B26" i="14"/>
  <c r="C26" i="14"/>
  <c r="D26" i="14"/>
  <c r="E26" i="14"/>
  <c r="F26" i="14"/>
  <c r="G26" i="14"/>
  <c r="H26" i="14"/>
  <c r="I26" i="14"/>
  <c r="J26" i="14"/>
  <c r="K26" i="14"/>
  <c r="L26" i="14"/>
  <c r="M26" i="14"/>
  <c r="B27" i="14"/>
  <c r="C27" i="14"/>
  <c r="D27" i="14"/>
  <c r="E27" i="14"/>
  <c r="F27" i="14"/>
  <c r="G27" i="14"/>
  <c r="H27" i="14"/>
  <c r="I27" i="14"/>
  <c r="J27" i="14"/>
  <c r="K27" i="14"/>
  <c r="L27" i="14"/>
  <c r="M27" i="14"/>
  <c r="A5" i="14"/>
  <c r="A7" i="14"/>
  <c r="A8" i="14"/>
  <c r="A9" i="14"/>
  <c r="A10" i="14"/>
  <c r="A11" i="14"/>
  <c r="A12" i="14"/>
  <c r="A13" i="14"/>
  <c r="A14" i="14"/>
  <c r="A15" i="14"/>
  <c r="A16" i="14"/>
  <c r="A17" i="14"/>
  <c r="A18" i="14"/>
  <c r="A19" i="14"/>
  <c r="A20" i="14"/>
  <c r="A21" i="14"/>
  <c r="A22" i="14"/>
  <c r="A23" i="14"/>
  <c r="A24" i="14"/>
  <c r="A25" i="14"/>
  <c r="A26" i="14"/>
  <c r="A27" i="14"/>
  <c r="D40" i="9"/>
  <c r="B10" i="23"/>
  <c r="B9" i="23"/>
  <c r="F24" i="28" l="1"/>
  <c r="S215" i="22"/>
  <c r="J103" i="14"/>
  <c r="O178" i="20"/>
  <c r="O125" i="20"/>
  <c r="H19" i="22"/>
  <c r="H96" i="22" s="1"/>
  <c r="G96" i="22"/>
  <c r="U178" i="21"/>
  <c r="U125" i="21"/>
  <c r="E96" i="22"/>
  <c r="F19" i="22"/>
  <c r="F96" i="22" s="1"/>
  <c r="H19" i="21"/>
  <c r="H96" i="21" s="1"/>
  <c r="G96" i="21"/>
  <c r="M215" i="22"/>
  <c r="G103" i="14"/>
  <c r="M96" i="20"/>
  <c r="M19" i="20"/>
  <c r="N19" i="20" s="1"/>
  <c r="N96" i="20" s="1"/>
  <c r="K265" i="20"/>
  <c r="K240" i="20"/>
  <c r="K96" i="20"/>
  <c r="K19" i="20"/>
  <c r="L19" i="20" s="1"/>
  <c r="L96" i="20" s="1"/>
  <c r="K178" i="20"/>
  <c r="K125" i="20"/>
  <c r="S178" i="21"/>
  <c r="S125" i="21"/>
  <c r="D19" i="22"/>
  <c r="D96" i="22" s="1"/>
  <c r="C96" i="22"/>
  <c r="E96" i="21"/>
  <c r="F19" i="21"/>
  <c r="F96" i="21" s="1"/>
  <c r="C215" i="21"/>
  <c r="B68" i="14"/>
  <c r="O215" i="22"/>
  <c r="H103" i="14"/>
  <c r="M178" i="20"/>
  <c r="M125" i="20"/>
  <c r="I265" i="20"/>
  <c r="I240" i="20"/>
  <c r="I96" i="20"/>
  <c r="I19" i="20"/>
  <c r="J19" i="20" s="1"/>
  <c r="J96" i="20" s="1"/>
  <c r="I178" i="20"/>
  <c r="I125" i="20"/>
  <c r="Q178" i="21"/>
  <c r="Q125" i="21"/>
  <c r="O125" i="21"/>
  <c r="O178" i="21"/>
  <c r="D19" i="21"/>
  <c r="D96" i="21" s="1"/>
  <c r="C96" i="21"/>
  <c r="Y215" i="21"/>
  <c r="M68" i="14"/>
  <c r="Q215" i="22"/>
  <c r="I103" i="14"/>
  <c r="G265" i="20"/>
  <c r="G240" i="20"/>
  <c r="G96" i="20"/>
  <c r="G19" i="20"/>
  <c r="H19" i="20" s="1"/>
  <c r="H96" i="20" s="1"/>
  <c r="G178" i="20"/>
  <c r="G125" i="20"/>
  <c r="M125" i="21"/>
  <c r="M178" i="21"/>
  <c r="W215" i="21"/>
  <c r="L68" i="14"/>
  <c r="G240" i="21"/>
  <c r="G265" i="21"/>
  <c r="E96" i="20"/>
  <c r="E19" i="20"/>
  <c r="F19" i="20" s="1"/>
  <c r="F96" i="20" s="1"/>
  <c r="Y177" i="20"/>
  <c r="Y124" i="20"/>
  <c r="K125" i="21"/>
  <c r="K178" i="21"/>
  <c r="U215" i="21"/>
  <c r="K68" i="14"/>
  <c r="K102" i="14"/>
  <c r="C96" i="20"/>
  <c r="C19" i="20"/>
  <c r="D19" i="20" s="1"/>
  <c r="D96" i="20" s="1"/>
  <c r="W177" i="20"/>
  <c r="W124" i="20"/>
  <c r="I125" i="21"/>
  <c r="I178" i="21"/>
  <c r="S215" i="21"/>
  <c r="J68" i="14"/>
  <c r="L102" i="14"/>
  <c r="O265" i="20"/>
  <c r="O240" i="20"/>
  <c r="W178" i="21"/>
  <c r="W125" i="21"/>
  <c r="M265" i="20"/>
  <c r="M240" i="20"/>
  <c r="U177" i="20"/>
  <c r="U124" i="20"/>
  <c r="Y240" i="21"/>
  <c r="Y265" i="21"/>
  <c r="Y96" i="21"/>
  <c r="Z19" i="21"/>
  <c r="Z96" i="21" s="1"/>
  <c r="Y96" i="22"/>
  <c r="Z19" i="22"/>
  <c r="Z96" i="22" s="1"/>
  <c r="G178" i="21"/>
  <c r="G125" i="21"/>
  <c r="Q215" i="21"/>
  <c r="I68" i="14"/>
  <c r="M102" i="14"/>
  <c r="S177" i="20"/>
  <c r="S124" i="20"/>
  <c r="W240" i="21"/>
  <c r="W265" i="21"/>
  <c r="W96" i="21"/>
  <c r="X19" i="21"/>
  <c r="X96" i="21" s="1"/>
  <c r="X19" i="22"/>
  <c r="X96" i="22" s="1"/>
  <c r="W96" i="22"/>
  <c r="O215" i="21"/>
  <c r="H68" i="14"/>
  <c r="Q177" i="20"/>
  <c r="Q124" i="20"/>
  <c r="U240" i="21"/>
  <c r="U265" i="21"/>
  <c r="U96" i="21"/>
  <c r="V19" i="21"/>
  <c r="V96" i="21" s="1"/>
  <c r="U96" i="22"/>
  <c r="V19" i="22"/>
  <c r="V96" i="22" s="1"/>
  <c r="M215" i="21"/>
  <c r="G68" i="14"/>
  <c r="O177" i="20"/>
  <c r="O124" i="20"/>
  <c r="S240" i="21"/>
  <c r="S265" i="21"/>
  <c r="S96" i="21"/>
  <c r="T19" i="21"/>
  <c r="T96" i="21" s="1"/>
  <c r="T19" i="22"/>
  <c r="T96" i="22" s="1"/>
  <c r="S96" i="22"/>
  <c r="K215" i="21"/>
  <c r="F68" i="14"/>
  <c r="M177" i="20"/>
  <c r="M124" i="20"/>
  <c r="Q240" i="21"/>
  <c r="Q265" i="21"/>
  <c r="Q96" i="22"/>
  <c r="R19" i="22"/>
  <c r="R96" i="22" s="1"/>
  <c r="I215" i="21"/>
  <c r="E68" i="14"/>
  <c r="O96" i="20"/>
  <c r="O19" i="20"/>
  <c r="P19" i="20" s="1"/>
  <c r="P96" i="20" s="1"/>
  <c r="Y178" i="20"/>
  <c r="Y125" i="20"/>
  <c r="W96" i="20"/>
  <c r="W19" i="20"/>
  <c r="X19" i="20" s="1"/>
  <c r="X96" i="20" s="1"/>
  <c r="W178" i="20"/>
  <c r="W125" i="20"/>
  <c r="K177" i="20"/>
  <c r="K124" i="20"/>
  <c r="O240" i="21"/>
  <c r="O265" i="21"/>
  <c r="O96" i="22"/>
  <c r="P19" i="22"/>
  <c r="P96" i="22" s="1"/>
  <c r="G215" i="21"/>
  <c r="D68" i="14"/>
  <c r="B102" i="14"/>
  <c r="K215" i="22"/>
  <c r="F103" i="14"/>
  <c r="Y265" i="20"/>
  <c r="Y240" i="20"/>
  <c r="U265" i="20"/>
  <c r="U240" i="20"/>
  <c r="U96" i="20"/>
  <c r="U19" i="20"/>
  <c r="V19" i="20" s="1"/>
  <c r="V96" i="20" s="1"/>
  <c r="U178" i="20"/>
  <c r="U125" i="20"/>
  <c r="I177" i="20"/>
  <c r="I124" i="20"/>
  <c r="M240" i="21"/>
  <c r="M265" i="21"/>
  <c r="N19" i="22"/>
  <c r="N96" i="22" s="1"/>
  <c r="M96" i="22"/>
  <c r="P19" i="21"/>
  <c r="P96" i="21" s="1"/>
  <c r="O96" i="21"/>
  <c r="E215" i="21"/>
  <c r="C68" i="14"/>
  <c r="C102" i="14"/>
  <c r="Q96" i="21"/>
  <c r="R19" i="21"/>
  <c r="R96" i="21" s="1"/>
  <c r="W265" i="20"/>
  <c r="W240" i="20"/>
  <c r="S265" i="20"/>
  <c r="S240" i="20"/>
  <c r="S96" i="20"/>
  <c r="S19" i="20"/>
  <c r="T19" i="20" s="1"/>
  <c r="T96" i="20" s="1"/>
  <c r="S178" i="20"/>
  <c r="S125" i="20"/>
  <c r="G177" i="20"/>
  <c r="G124" i="20"/>
  <c r="K240" i="21"/>
  <c r="K265" i="21"/>
  <c r="L19" i="22"/>
  <c r="L96" i="22" s="1"/>
  <c r="K96" i="22"/>
  <c r="M96" i="21"/>
  <c r="N19" i="21"/>
  <c r="N96" i="21" s="1"/>
  <c r="D102" i="14"/>
  <c r="J19" i="21"/>
  <c r="J96" i="21" s="1"/>
  <c r="I96" i="21"/>
  <c r="Y96" i="20"/>
  <c r="Y19" i="20"/>
  <c r="Z19" i="20" s="1"/>
  <c r="Z96" i="20" s="1"/>
  <c r="Q265" i="20"/>
  <c r="Q240" i="20"/>
  <c r="Q96" i="20"/>
  <c r="Q19" i="20"/>
  <c r="R19" i="20" s="1"/>
  <c r="R96" i="20" s="1"/>
  <c r="Q178" i="20"/>
  <c r="Q125" i="20"/>
  <c r="I240" i="21"/>
  <c r="I265" i="21"/>
  <c r="Y125" i="21"/>
  <c r="Y178" i="21"/>
  <c r="I96" i="22"/>
  <c r="J19" i="22"/>
  <c r="J96" i="22" s="1"/>
  <c r="L19" i="21"/>
  <c r="L96" i="21" s="1"/>
  <c r="K96" i="21"/>
  <c r="E102" i="14"/>
  <c r="J19" i="13"/>
  <c r="F19" i="13"/>
  <c r="F18" i="13"/>
  <c r="X19" i="13"/>
  <c r="V19" i="13"/>
  <c r="T19" i="13"/>
  <c r="R19" i="13"/>
  <c r="P19" i="13"/>
  <c r="N19" i="13"/>
  <c r="L19" i="13"/>
  <c r="H19" i="13"/>
  <c r="C215" i="22" l="1"/>
  <c r="B103" i="14"/>
  <c r="W215" i="22"/>
  <c r="L103" i="14"/>
  <c r="U215" i="22"/>
  <c r="K103" i="14"/>
  <c r="E215" i="22"/>
  <c r="C103" i="14"/>
  <c r="I215" i="22"/>
  <c r="E103" i="14"/>
  <c r="Y215" i="22"/>
  <c r="M103" i="14"/>
  <c r="G215" i="22"/>
  <c r="D103" i="14"/>
  <c r="U19" i="13"/>
  <c r="M19" i="13"/>
  <c r="W19" i="13"/>
  <c r="O19" i="13"/>
  <c r="G19" i="13"/>
  <c r="E19" i="13"/>
  <c r="S19" i="13"/>
  <c r="B8" i="23"/>
  <c r="B7" i="23"/>
  <c r="B6" i="23"/>
  <c r="B5" i="23"/>
  <c r="B4" i="23"/>
  <c r="P213" i="9"/>
  <c r="M91" i="14" s="1"/>
  <c r="O213" i="9"/>
  <c r="L91" i="14" s="1"/>
  <c r="N213" i="9"/>
  <c r="K91" i="14" s="1"/>
  <c r="M213" i="9"/>
  <c r="J91" i="14" s="1"/>
  <c r="L213" i="9"/>
  <c r="I91" i="14" s="1"/>
  <c r="K213" i="9"/>
  <c r="H91" i="14" s="1"/>
  <c r="J213" i="9"/>
  <c r="G91" i="14" s="1"/>
  <c r="I213" i="9"/>
  <c r="F91" i="14" s="1"/>
  <c r="H213" i="9"/>
  <c r="E91" i="14" s="1"/>
  <c r="G213" i="9"/>
  <c r="D91" i="14" s="1"/>
  <c r="G196" i="9"/>
  <c r="H196" i="9" s="1"/>
  <c r="I196" i="9" s="1"/>
  <c r="J196" i="9" s="1"/>
  <c r="K196" i="9" s="1"/>
  <c r="L196" i="9" s="1"/>
  <c r="M196" i="9" s="1"/>
  <c r="N196" i="9" s="1"/>
  <c r="O196" i="9" s="1"/>
  <c r="P196" i="9" s="1"/>
  <c r="D196" i="9"/>
  <c r="E196" i="9" s="1"/>
  <c r="G170" i="9"/>
  <c r="H170" i="9" s="1"/>
  <c r="I170" i="9" s="1"/>
  <c r="J170" i="9" s="1"/>
  <c r="K170" i="9" s="1"/>
  <c r="L170" i="9" s="1"/>
  <c r="M170" i="9" s="1"/>
  <c r="N170" i="9" s="1"/>
  <c r="O170" i="9" s="1"/>
  <c r="P170" i="9" s="1"/>
  <c r="D170" i="9"/>
  <c r="E170" i="9" s="1"/>
  <c r="G144" i="9"/>
  <c r="H144" i="9" s="1"/>
  <c r="I144" i="9" s="1"/>
  <c r="J144" i="9" s="1"/>
  <c r="K144" i="9" s="1"/>
  <c r="L144" i="9" s="1"/>
  <c r="M144" i="9" s="1"/>
  <c r="N144" i="9" s="1"/>
  <c r="O144" i="9" s="1"/>
  <c r="P144" i="9" s="1"/>
  <c r="D144" i="9"/>
  <c r="E144" i="9" s="1"/>
  <c r="G118" i="9"/>
  <c r="H118" i="9" s="1"/>
  <c r="I118" i="9" s="1"/>
  <c r="J118" i="9" s="1"/>
  <c r="K118" i="9" s="1"/>
  <c r="L118" i="9" s="1"/>
  <c r="M118" i="9" s="1"/>
  <c r="N118" i="9" s="1"/>
  <c r="O118" i="9" s="1"/>
  <c r="P118" i="9" s="1"/>
  <c r="D118" i="9"/>
  <c r="E118" i="9" s="1"/>
  <c r="G92" i="9"/>
  <c r="H92" i="9" s="1"/>
  <c r="I92" i="9" s="1"/>
  <c r="J92" i="9" s="1"/>
  <c r="K92" i="9" s="1"/>
  <c r="L92" i="9" s="1"/>
  <c r="M92" i="9" s="1"/>
  <c r="N92" i="9" s="1"/>
  <c r="O92" i="9" s="1"/>
  <c r="P92" i="9" s="1"/>
  <c r="D92" i="9"/>
  <c r="E92" i="9" s="1"/>
  <c r="G66" i="9"/>
  <c r="H66" i="9" s="1"/>
  <c r="I66" i="9" s="1"/>
  <c r="J66" i="9" s="1"/>
  <c r="K66" i="9" s="1"/>
  <c r="L66" i="9" s="1"/>
  <c r="M66" i="9" s="1"/>
  <c r="N66" i="9" s="1"/>
  <c r="O66" i="9" s="1"/>
  <c r="P66" i="9" s="1"/>
  <c r="E66" i="9"/>
  <c r="D66" i="9"/>
  <c r="P57" i="9"/>
  <c r="O57" i="9"/>
  <c r="N57" i="9"/>
  <c r="M57" i="9"/>
  <c r="L57" i="9"/>
  <c r="K57" i="9"/>
  <c r="J57" i="9"/>
  <c r="I57" i="9"/>
  <c r="H57" i="9"/>
  <c r="G57" i="9"/>
  <c r="G40" i="9"/>
  <c r="H40" i="9" s="1"/>
  <c r="I40" i="9" s="1"/>
  <c r="J40" i="9" s="1"/>
  <c r="K40" i="9" s="1"/>
  <c r="L40" i="9" s="1"/>
  <c r="M40" i="9" s="1"/>
  <c r="N40" i="9" s="1"/>
  <c r="O40" i="9" s="1"/>
  <c r="P40" i="9" s="1"/>
  <c r="E40" i="9"/>
  <c r="S240" i="22" l="1"/>
  <c r="S265" i="22"/>
  <c r="Q240" i="22"/>
  <c r="Q265" i="22"/>
  <c r="U240" i="22"/>
  <c r="U265" i="22"/>
  <c r="O240" i="22"/>
  <c r="O265" i="22"/>
  <c r="W240" i="22"/>
  <c r="W265" i="22"/>
  <c r="Y240" i="22"/>
  <c r="Y265" i="22"/>
  <c r="G265" i="22"/>
  <c r="G240" i="22"/>
  <c r="I240" i="22"/>
  <c r="I265" i="22"/>
  <c r="K240" i="22"/>
  <c r="K265" i="22"/>
  <c r="M240" i="22"/>
  <c r="M265" i="22"/>
  <c r="Q20" i="13"/>
  <c r="G20" i="13"/>
  <c r="Y19" i="13"/>
  <c r="I19" i="13"/>
  <c r="M20" i="13"/>
  <c r="W20" i="13"/>
  <c r="Q19" i="13"/>
  <c r="O20" i="13"/>
  <c r="K19" i="13"/>
  <c r="S20" i="13"/>
  <c r="K20" i="13"/>
  <c r="I20" i="13"/>
  <c r="U20" i="13"/>
  <c r="Y20" i="13"/>
  <c r="C19" i="13"/>
  <c r="W18" i="10"/>
  <c r="P18" i="10"/>
  <c r="T18" i="10" s="1"/>
  <c r="B18" i="10"/>
  <c r="F18" i="10" s="1"/>
  <c r="W17" i="10"/>
  <c r="P17" i="10"/>
  <c r="T17" i="10" s="1"/>
  <c r="B17" i="10"/>
  <c r="K17" i="10" s="1"/>
  <c r="W16" i="10"/>
  <c r="P16" i="10"/>
  <c r="T16" i="10" s="1"/>
  <c r="B16" i="10"/>
  <c r="F16" i="10" s="1"/>
  <c r="W15" i="10"/>
  <c r="P15" i="10"/>
  <c r="T15" i="10" s="1"/>
  <c r="B15" i="10"/>
  <c r="K15" i="10" s="1"/>
  <c r="W14" i="10"/>
  <c r="P14" i="10"/>
  <c r="T14" i="10" s="1"/>
  <c r="B14" i="10"/>
  <c r="F14" i="10" s="1"/>
  <c r="W13" i="10"/>
  <c r="P13" i="10"/>
  <c r="T13" i="10" s="1"/>
  <c r="B13" i="10"/>
  <c r="F13" i="10" s="1"/>
  <c r="W12" i="10"/>
  <c r="P12" i="10"/>
  <c r="T12" i="10" s="1"/>
  <c r="B12" i="10"/>
  <c r="F12" i="10" s="1"/>
  <c r="W11" i="10"/>
  <c r="P11" i="10"/>
  <c r="T11" i="10" s="1"/>
  <c r="B11" i="10"/>
  <c r="K11" i="10" s="1"/>
  <c r="W10" i="10"/>
  <c r="P10" i="10"/>
  <c r="T10" i="10" s="1"/>
  <c r="B10" i="10"/>
  <c r="F10" i="10" s="1"/>
  <c r="W9" i="10"/>
  <c r="P9" i="10"/>
  <c r="T9" i="10" s="1"/>
  <c r="B9" i="10"/>
  <c r="K9" i="10" s="1"/>
  <c r="W8" i="10"/>
  <c r="P8" i="10"/>
  <c r="R8" i="10" s="1"/>
  <c r="B8" i="10"/>
  <c r="F8" i="10" s="1"/>
  <c r="W7" i="10"/>
  <c r="P7" i="10"/>
  <c r="T7" i="10" s="1"/>
  <c r="B7" i="10"/>
  <c r="F7" i="10" s="1"/>
  <c r="W6" i="10"/>
  <c r="P6" i="10"/>
  <c r="R6" i="10" s="1"/>
  <c r="B6" i="10"/>
  <c r="F6" i="10" s="1"/>
  <c r="S158" i="11"/>
  <c r="R158" i="11"/>
  <c r="Q158" i="11"/>
  <c r="P158" i="11"/>
  <c r="O158" i="11"/>
  <c r="N158" i="11"/>
  <c r="S157" i="11"/>
  <c r="R157" i="11"/>
  <c r="Q157" i="11"/>
  <c r="P157" i="11"/>
  <c r="O157" i="11"/>
  <c r="N157" i="11"/>
  <c r="S156" i="11"/>
  <c r="R156" i="11"/>
  <c r="Q156" i="11"/>
  <c r="P156" i="11"/>
  <c r="O156" i="11"/>
  <c r="N156" i="11"/>
  <c r="S155" i="11"/>
  <c r="R155" i="11"/>
  <c r="Q155" i="11"/>
  <c r="P155" i="11"/>
  <c r="O155" i="11"/>
  <c r="N155" i="11"/>
  <c r="S154" i="11"/>
  <c r="R154" i="11"/>
  <c r="Q154" i="11"/>
  <c r="P154" i="11"/>
  <c r="O154" i="11"/>
  <c r="N154" i="11"/>
  <c r="S153" i="11"/>
  <c r="R153" i="11"/>
  <c r="Q153" i="11"/>
  <c r="P153" i="11"/>
  <c r="O153" i="11"/>
  <c r="N153" i="11"/>
  <c r="U153" i="11" s="1"/>
  <c r="S151" i="11"/>
  <c r="R151" i="11"/>
  <c r="Q151" i="11"/>
  <c r="P151" i="11"/>
  <c r="O151" i="11"/>
  <c r="N151" i="11"/>
  <c r="S150" i="11"/>
  <c r="R150" i="11"/>
  <c r="Q150" i="11"/>
  <c r="P150" i="11"/>
  <c r="O150" i="11"/>
  <c r="N150" i="11"/>
  <c r="S149" i="11"/>
  <c r="R149" i="11"/>
  <c r="Q149" i="11"/>
  <c r="P149" i="11"/>
  <c r="O149" i="11"/>
  <c r="N149" i="11"/>
  <c r="S148" i="11"/>
  <c r="R148" i="11"/>
  <c r="Q148" i="11"/>
  <c r="P148" i="11"/>
  <c r="O148" i="11"/>
  <c r="N148" i="11"/>
  <c r="S147" i="11"/>
  <c r="R147" i="11"/>
  <c r="Q147" i="11"/>
  <c r="P147" i="11"/>
  <c r="O147" i="11"/>
  <c r="N147" i="11"/>
  <c r="S146" i="11"/>
  <c r="R146" i="11"/>
  <c r="Q146" i="11"/>
  <c r="P146" i="11"/>
  <c r="O146" i="11"/>
  <c r="N146" i="11"/>
  <c r="U146" i="11" s="1"/>
  <c r="S144" i="11"/>
  <c r="R144" i="11"/>
  <c r="Q144" i="11"/>
  <c r="P144" i="11"/>
  <c r="O144" i="11"/>
  <c r="N144" i="11"/>
  <c r="S143" i="11"/>
  <c r="R143" i="11"/>
  <c r="Q143" i="11"/>
  <c r="P143" i="11"/>
  <c r="O143" i="11"/>
  <c r="N143" i="11"/>
  <c r="S142" i="11"/>
  <c r="R142" i="11"/>
  <c r="Q142" i="11"/>
  <c r="P142" i="11"/>
  <c r="O142" i="11"/>
  <c r="N142" i="11"/>
  <c r="S141" i="11"/>
  <c r="R141" i="11"/>
  <c r="Q141" i="11"/>
  <c r="P141" i="11"/>
  <c r="O141" i="11"/>
  <c r="N141" i="11"/>
  <c r="S140" i="11"/>
  <c r="R140" i="11"/>
  <c r="Q140" i="11"/>
  <c r="P140" i="11"/>
  <c r="O140" i="11"/>
  <c r="N140" i="11"/>
  <c r="S139" i="11"/>
  <c r="R139" i="11"/>
  <c r="Q139" i="11"/>
  <c r="P139" i="11"/>
  <c r="O139" i="11"/>
  <c r="N139" i="11"/>
  <c r="U139" i="11" s="1"/>
  <c r="S135" i="11"/>
  <c r="R135" i="11"/>
  <c r="Q135" i="11"/>
  <c r="P135" i="11"/>
  <c r="O135" i="11"/>
  <c r="N135" i="11"/>
  <c r="S134" i="11"/>
  <c r="R134" i="11"/>
  <c r="Q134" i="11"/>
  <c r="P134" i="11"/>
  <c r="O134" i="11"/>
  <c r="N134" i="11"/>
  <c r="S133" i="11"/>
  <c r="R133" i="11"/>
  <c r="Q133" i="11"/>
  <c r="P133" i="11"/>
  <c r="O133" i="11"/>
  <c r="N133" i="11"/>
  <c r="S132" i="11"/>
  <c r="R132" i="11"/>
  <c r="Q132" i="11"/>
  <c r="P132" i="11"/>
  <c r="O132" i="11"/>
  <c r="N132" i="11"/>
  <c r="S131" i="11"/>
  <c r="R131" i="11"/>
  <c r="Q131" i="11"/>
  <c r="P131" i="11"/>
  <c r="O131" i="11"/>
  <c r="N131" i="11"/>
  <c r="S130" i="11"/>
  <c r="R130" i="11"/>
  <c r="Q130" i="11"/>
  <c r="P130" i="11"/>
  <c r="O130" i="11"/>
  <c r="N130" i="11"/>
  <c r="U130" i="11" s="1"/>
  <c r="S128" i="11"/>
  <c r="R128" i="11"/>
  <c r="Q128" i="11"/>
  <c r="P128" i="11"/>
  <c r="O128" i="11"/>
  <c r="N128" i="11"/>
  <c r="S127" i="11"/>
  <c r="R127" i="11"/>
  <c r="Q127" i="11"/>
  <c r="P127" i="11"/>
  <c r="O127" i="11"/>
  <c r="N127" i="11"/>
  <c r="S126" i="11"/>
  <c r="R126" i="11"/>
  <c r="Q126" i="11"/>
  <c r="P126" i="11"/>
  <c r="O126" i="11"/>
  <c r="N126" i="11"/>
  <c r="S125" i="11"/>
  <c r="R125" i="11"/>
  <c r="Q125" i="11"/>
  <c r="P125" i="11"/>
  <c r="O125" i="11"/>
  <c r="N125" i="11"/>
  <c r="S124" i="11"/>
  <c r="R124" i="11"/>
  <c r="Q124" i="11"/>
  <c r="P124" i="11"/>
  <c r="O124" i="11"/>
  <c r="N124" i="11"/>
  <c r="S123" i="11"/>
  <c r="R123" i="11"/>
  <c r="Q123" i="11"/>
  <c r="P123" i="11"/>
  <c r="O123" i="11"/>
  <c r="N123" i="11"/>
  <c r="U123" i="11" s="1"/>
  <c r="S121" i="11"/>
  <c r="R121" i="11"/>
  <c r="Q121" i="11"/>
  <c r="P121" i="11"/>
  <c r="O121" i="11"/>
  <c r="N121" i="11"/>
  <c r="S120" i="11"/>
  <c r="R120" i="11"/>
  <c r="Q120" i="11"/>
  <c r="P120" i="11"/>
  <c r="O120" i="11"/>
  <c r="N120" i="11"/>
  <c r="S119" i="11"/>
  <c r="R119" i="11"/>
  <c r="Q119" i="11"/>
  <c r="P119" i="11"/>
  <c r="O119" i="11"/>
  <c r="N119" i="11"/>
  <c r="S118" i="11"/>
  <c r="R118" i="11"/>
  <c r="Q118" i="11"/>
  <c r="P118" i="11"/>
  <c r="O118" i="11"/>
  <c r="N118" i="11"/>
  <c r="S117" i="11"/>
  <c r="R117" i="11"/>
  <c r="Q117" i="11"/>
  <c r="P117" i="11"/>
  <c r="O117" i="11"/>
  <c r="N117" i="11"/>
  <c r="S116" i="11"/>
  <c r="R116" i="11"/>
  <c r="Q116" i="11"/>
  <c r="P116" i="11"/>
  <c r="O116" i="11"/>
  <c r="N116" i="11"/>
  <c r="U116" i="11" s="1"/>
  <c r="S112" i="11"/>
  <c r="R112" i="11"/>
  <c r="Q112" i="11"/>
  <c r="P112" i="11"/>
  <c r="O112" i="11"/>
  <c r="N112" i="11"/>
  <c r="S111" i="11"/>
  <c r="R111" i="11"/>
  <c r="Q111" i="11"/>
  <c r="P111" i="11"/>
  <c r="O111" i="11"/>
  <c r="N111" i="11"/>
  <c r="S110" i="11"/>
  <c r="R110" i="11"/>
  <c r="Q110" i="11"/>
  <c r="P110" i="11"/>
  <c r="O110" i="11"/>
  <c r="N110" i="11"/>
  <c r="S109" i="11"/>
  <c r="R109" i="11"/>
  <c r="Q109" i="11"/>
  <c r="P109" i="11"/>
  <c r="O109" i="11"/>
  <c r="N109" i="11"/>
  <c r="S108" i="11"/>
  <c r="R108" i="11"/>
  <c r="Q108" i="11"/>
  <c r="P108" i="11"/>
  <c r="O108" i="11"/>
  <c r="N108" i="11"/>
  <c r="S107" i="11"/>
  <c r="R107" i="11"/>
  <c r="Q107" i="11"/>
  <c r="P107" i="11"/>
  <c r="O107" i="11"/>
  <c r="N107" i="11"/>
  <c r="U107" i="11" s="1"/>
  <c r="S105" i="11"/>
  <c r="R105" i="11"/>
  <c r="Q105" i="11"/>
  <c r="P105" i="11"/>
  <c r="O105" i="11"/>
  <c r="N105" i="11"/>
  <c r="S104" i="11"/>
  <c r="R104" i="11"/>
  <c r="Q104" i="11"/>
  <c r="P104" i="11"/>
  <c r="O104" i="11"/>
  <c r="N104" i="11"/>
  <c r="S103" i="11"/>
  <c r="R103" i="11"/>
  <c r="Q103" i="11"/>
  <c r="P103" i="11"/>
  <c r="O103" i="11"/>
  <c r="N103" i="11"/>
  <c r="S102" i="11"/>
  <c r="R102" i="11"/>
  <c r="Q102" i="11"/>
  <c r="P102" i="11"/>
  <c r="O102" i="11"/>
  <c r="N102" i="11"/>
  <c r="S101" i="11"/>
  <c r="R101" i="11"/>
  <c r="Q101" i="11"/>
  <c r="P101" i="11"/>
  <c r="O101" i="11"/>
  <c r="N101" i="11"/>
  <c r="S100" i="11"/>
  <c r="R100" i="11"/>
  <c r="Q100" i="11"/>
  <c r="P100" i="11"/>
  <c r="O100" i="11"/>
  <c r="N100" i="11"/>
  <c r="U100" i="11" s="1"/>
  <c r="U169" i="11" s="1"/>
  <c r="S98" i="11"/>
  <c r="R98" i="11"/>
  <c r="Q98" i="11"/>
  <c r="P98" i="11"/>
  <c r="O98" i="11"/>
  <c r="N98" i="11"/>
  <c r="S97" i="11"/>
  <c r="R97" i="11"/>
  <c r="Q97" i="11"/>
  <c r="P97" i="11"/>
  <c r="O97" i="11"/>
  <c r="N97" i="11"/>
  <c r="S96" i="11"/>
  <c r="R96" i="11"/>
  <c r="Q96" i="11"/>
  <c r="P96" i="11"/>
  <c r="O96" i="11"/>
  <c r="N96" i="11"/>
  <c r="S95" i="11"/>
  <c r="R95" i="11"/>
  <c r="Q95" i="11"/>
  <c r="P95" i="11"/>
  <c r="O95" i="11"/>
  <c r="N95" i="11"/>
  <c r="S94" i="11"/>
  <c r="R94" i="11"/>
  <c r="Q94" i="11"/>
  <c r="P94" i="11"/>
  <c r="O94" i="11"/>
  <c r="N94" i="11"/>
  <c r="S93" i="11"/>
  <c r="R93" i="11"/>
  <c r="Q93" i="11"/>
  <c r="P93" i="11"/>
  <c r="O93" i="11"/>
  <c r="N93" i="11"/>
  <c r="U93" i="11" s="1"/>
  <c r="K58" i="11"/>
  <c r="J58" i="11"/>
  <c r="I58" i="11"/>
  <c r="K57" i="11"/>
  <c r="J57" i="11"/>
  <c r="L57" i="11" s="1"/>
  <c r="I57" i="11"/>
  <c r="K56" i="11"/>
  <c r="J56" i="11"/>
  <c r="I56" i="11"/>
  <c r="K55" i="11"/>
  <c r="J55" i="11"/>
  <c r="I55" i="11"/>
  <c r="K54" i="11"/>
  <c r="J54" i="11"/>
  <c r="I54" i="11"/>
  <c r="K53" i="11"/>
  <c r="J53" i="11"/>
  <c r="I53" i="11"/>
  <c r="K52" i="11"/>
  <c r="J52" i="11"/>
  <c r="I52" i="11"/>
  <c r="K51" i="11"/>
  <c r="J51" i="11"/>
  <c r="I51" i="11"/>
  <c r="K50" i="11"/>
  <c r="J50" i="11"/>
  <c r="I50" i="11"/>
  <c r="K49" i="11"/>
  <c r="J49" i="11"/>
  <c r="L49" i="11" s="1"/>
  <c r="I49" i="11"/>
  <c r="K48" i="11"/>
  <c r="J48" i="11"/>
  <c r="I48" i="11"/>
  <c r="B17" i="11"/>
  <c r="B16" i="11"/>
  <c r="B15" i="11"/>
  <c r="B14" i="11"/>
  <c r="B13" i="11"/>
  <c r="B12" i="11"/>
  <c r="B11" i="11"/>
  <c r="B10" i="11"/>
  <c r="B9" i="11"/>
  <c r="B8" i="11"/>
  <c r="B7" i="11"/>
  <c r="B6" i="11"/>
  <c r="L50" i="11" l="1"/>
  <c r="M54" i="11"/>
  <c r="Y139" i="11"/>
  <c r="V146" i="11"/>
  <c r="Z146" i="11"/>
  <c r="Z153" i="11"/>
  <c r="Y153" i="11"/>
  <c r="X146" i="11"/>
  <c r="X153" i="11"/>
  <c r="M52" i="11"/>
  <c r="L53" i="11"/>
  <c r="M58" i="11"/>
  <c r="Y93" i="11"/>
  <c r="V100" i="11"/>
  <c r="Z100" i="11"/>
  <c r="Z107" i="11"/>
  <c r="Y107" i="11"/>
  <c r="V116" i="11"/>
  <c r="Z116" i="11"/>
  <c r="Z123" i="11"/>
  <c r="Y123" i="11"/>
  <c r="V130" i="11"/>
  <c r="Z130" i="11"/>
  <c r="Z139" i="11"/>
  <c r="M50" i="11"/>
  <c r="L51" i="11"/>
  <c r="L55" i="11"/>
  <c r="L58" i="11"/>
  <c r="X93" i="11"/>
  <c r="X100" i="11"/>
  <c r="X107" i="11"/>
  <c r="X116" i="11"/>
  <c r="X123" i="11"/>
  <c r="X130" i="11"/>
  <c r="X139" i="11"/>
  <c r="M48" i="11"/>
  <c r="L54" i="11"/>
  <c r="M56" i="11"/>
  <c r="V93" i="11"/>
  <c r="Z93" i="11"/>
  <c r="Y100" i="11"/>
  <c r="V107" i="11"/>
  <c r="Y116" i="11"/>
  <c r="V123" i="11"/>
  <c r="Y130" i="11"/>
  <c r="V139" i="11"/>
  <c r="Y146" i="11"/>
  <c r="V153" i="11"/>
  <c r="AA153" i="11" s="1"/>
  <c r="AB153" i="11" s="1"/>
  <c r="L48" i="11"/>
  <c r="M53" i="11"/>
  <c r="L56" i="11"/>
  <c r="W93" i="11"/>
  <c r="W107" i="11"/>
  <c r="W123" i="11"/>
  <c r="W139" i="11"/>
  <c r="W153" i="11"/>
  <c r="M49" i="11"/>
  <c r="L52" i="11"/>
  <c r="M57" i="11"/>
  <c r="W100" i="11"/>
  <c r="W116" i="11"/>
  <c r="W130" i="11"/>
  <c r="W146" i="11"/>
  <c r="Q10" i="10"/>
  <c r="Q12" i="10"/>
  <c r="K7" i="10"/>
  <c r="R12" i="10"/>
  <c r="K13" i="10"/>
  <c r="S11" i="10"/>
  <c r="Q6" i="10"/>
  <c r="F15" i="10"/>
  <c r="F11" i="10"/>
  <c r="R14" i="10"/>
  <c r="S17" i="10"/>
  <c r="Q18" i="10"/>
  <c r="S9" i="10"/>
  <c r="R7" i="10"/>
  <c r="F9" i="10"/>
  <c r="R10" i="10"/>
  <c r="S15" i="10"/>
  <c r="Q16" i="10"/>
  <c r="F17" i="10"/>
  <c r="R18" i="10"/>
  <c r="S7" i="10"/>
  <c r="Q8" i="10"/>
  <c r="S13" i="10"/>
  <c r="Q14" i="10"/>
  <c r="R16" i="10"/>
  <c r="K6" i="10"/>
  <c r="S6" i="10"/>
  <c r="Q7" i="10"/>
  <c r="K8" i="10"/>
  <c r="S8" i="10"/>
  <c r="Q9" i="10"/>
  <c r="K10" i="10"/>
  <c r="S10" i="10"/>
  <c r="Q11" i="10"/>
  <c r="K12" i="10"/>
  <c r="S12" i="10"/>
  <c r="U12" i="10" s="1"/>
  <c r="Q13" i="10"/>
  <c r="K14" i="10"/>
  <c r="S14" i="10"/>
  <c r="Q15" i="10"/>
  <c r="K16" i="10"/>
  <c r="S16" i="10"/>
  <c r="Q17" i="10"/>
  <c r="K18" i="10"/>
  <c r="S18" i="10"/>
  <c r="T6" i="10"/>
  <c r="T8" i="10"/>
  <c r="R9" i="10"/>
  <c r="R11" i="10"/>
  <c r="R13" i="10"/>
  <c r="R15" i="10"/>
  <c r="R17" i="10"/>
  <c r="M51" i="11"/>
  <c r="M55" i="11"/>
  <c r="U165" i="11"/>
  <c r="V165" i="11" l="1"/>
  <c r="AC139" i="11"/>
  <c r="AD146" i="11"/>
  <c r="AD153" i="11"/>
  <c r="AC116" i="11"/>
  <c r="AC93" i="11"/>
  <c r="AD93" i="11"/>
  <c r="AA146" i="11"/>
  <c r="AB146" i="11" s="1"/>
  <c r="AD116" i="11"/>
  <c r="Z169" i="11"/>
  <c r="AC153" i="11"/>
  <c r="AE153" i="11" s="1"/>
  <c r="AA123" i="11"/>
  <c r="AB123" i="11" s="1"/>
  <c r="Z165" i="11"/>
  <c r="AD139" i="11"/>
  <c r="AA93" i="11"/>
  <c r="AB93" i="11" s="1"/>
  <c r="AF93" i="11" s="1"/>
  <c r="W169" i="11"/>
  <c r="V169" i="11"/>
  <c r="W165" i="11"/>
  <c r="AD130" i="11"/>
  <c r="Y169" i="11"/>
  <c r="AC123" i="11"/>
  <c r="X165" i="11"/>
  <c r="AC165" i="11" s="1"/>
  <c r="AA116" i="11"/>
  <c r="AB116" i="11" s="1"/>
  <c r="AA130" i="11"/>
  <c r="AB130" i="11" s="1"/>
  <c r="AA139" i="11"/>
  <c r="AB139" i="11" s="1"/>
  <c r="AD123" i="11"/>
  <c r="AD107" i="11"/>
  <c r="AA107" i="11"/>
  <c r="AB107" i="11" s="1"/>
  <c r="AC146" i="11"/>
  <c r="X169" i="11"/>
  <c r="AD100" i="11"/>
  <c r="Y165" i="11"/>
  <c r="AD165" i="11" s="1"/>
  <c r="AC130" i="11"/>
  <c r="AC107" i="11"/>
  <c r="AA100" i="11"/>
  <c r="AB100" i="11" s="1"/>
  <c r="AC100" i="11"/>
  <c r="U18" i="10"/>
  <c r="U10" i="10"/>
  <c r="U7" i="10"/>
  <c r="U14" i="10"/>
  <c r="U6" i="10"/>
  <c r="U16" i="10"/>
  <c r="U11" i="10"/>
  <c r="U8" i="10"/>
  <c r="U17" i="10"/>
  <c r="U9" i="10"/>
  <c r="U13" i="10"/>
  <c r="U15" i="10"/>
  <c r="AE116" i="11" l="1"/>
  <c r="AE93" i="11"/>
  <c r="AF153" i="11"/>
  <c r="AF139" i="11"/>
  <c r="AD169" i="11"/>
  <c r="AF146" i="11"/>
  <c r="AE146" i="11"/>
  <c r="AA169" i="11"/>
  <c r="AB169" i="11" s="1"/>
  <c r="AF116" i="11"/>
  <c r="AE139" i="11"/>
  <c r="AE123" i="11"/>
  <c r="AF107" i="11"/>
  <c r="AA165" i="11"/>
  <c r="AB165" i="11" s="1"/>
  <c r="AF165" i="11" s="1"/>
  <c r="AE130" i="11"/>
  <c r="AE100" i="11"/>
  <c r="AF123" i="11"/>
  <c r="AC169" i="11"/>
  <c r="AF130" i="11"/>
  <c r="AE107" i="11"/>
  <c r="AF100" i="11"/>
  <c r="AF169" i="11" l="1"/>
  <c r="AE165" i="11"/>
  <c r="AE169" i="11"/>
</calcChain>
</file>

<file path=xl/comments1.xml><?xml version="1.0" encoding="utf-8"?>
<comments xmlns="http://schemas.openxmlformats.org/spreadsheetml/2006/main">
  <authors>
    <author>Trond Ivar Bøhn</author>
  </authors>
  <commentList>
    <comment ref="O47" authorId="0" shapeId="0">
      <text>
        <r>
          <rPr>
            <b/>
            <sz val="9"/>
            <color indexed="81"/>
            <rFont val="Tahoma"/>
            <family val="2"/>
          </rPr>
          <t>Trond Ivar Bøhn:</t>
        </r>
        <r>
          <rPr>
            <sz val="9"/>
            <color indexed="81"/>
            <rFont val="Tahoma"/>
            <family val="2"/>
          </rPr>
          <t xml:space="preserve">
For de som befinner seg helt på vippepunktet mellom de to TEK, velges TEK69 grunnet usikkerhet i den skjønnsmessige vurdering av rehab/oppgradering som er gjort i potensialstudien.
</t>
        </r>
      </text>
    </comment>
    <comment ref="AH164" authorId="0" shapeId="0">
      <text>
        <r>
          <rPr>
            <b/>
            <sz val="9"/>
            <color indexed="81"/>
            <rFont val="Tahoma"/>
            <family val="2"/>
          </rPr>
          <t>Trond Ivar Bøhn:</t>
        </r>
        <r>
          <rPr>
            <sz val="9"/>
            <color indexed="81"/>
            <rFont val="Tahoma"/>
            <family val="2"/>
          </rPr>
          <t xml:space="preserve">
For de som befinner seg helt på vippepunktet mellom de to TEK, velges TEK69 grunnet usikkerhet i den skjønnsmessige rahb/oppgradering som er gjort i potensialstudien.
</t>
        </r>
      </text>
    </comment>
    <comment ref="AH168" authorId="0" shapeId="0">
      <text>
        <r>
          <rPr>
            <b/>
            <sz val="9"/>
            <color indexed="81"/>
            <rFont val="Tahoma"/>
            <family val="2"/>
          </rPr>
          <t>Trond Ivar Bøhn:</t>
        </r>
        <r>
          <rPr>
            <sz val="9"/>
            <color indexed="81"/>
            <rFont val="Tahoma"/>
            <family val="2"/>
          </rPr>
          <t xml:space="preserve">
For de som befinner seg helt på vippepunktet mellom de to TEK, velges TEK69 grunnet usikkerhet i den skjønnsmessige rahb/oppgradering som er gjort i potensialstudien.
</t>
        </r>
      </text>
    </comment>
  </commentList>
</comments>
</file>

<file path=xl/comments10.xml><?xml version="1.0" encoding="utf-8"?>
<comments xmlns="http://schemas.openxmlformats.org/spreadsheetml/2006/main">
  <authors>
    <author>Trond Ivar Bøhn</author>
  </authors>
  <commentList>
    <comment ref="C21" authorId="0" shapeId="0">
      <text>
        <r>
          <rPr>
            <b/>
            <sz val="9"/>
            <color indexed="81"/>
            <rFont val="Tahoma"/>
            <family val="2"/>
          </rPr>
          <t>Trond Ivar Bøhn:</t>
        </r>
        <r>
          <rPr>
            <sz val="9"/>
            <color indexed="81"/>
            <rFont val="Tahoma"/>
            <family val="2"/>
          </rPr>
          <t xml:space="preserve">
Benytter Holte enkel standard, men legger til 20 % for markedsutvikling siste årene, ref RIE</t>
        </r>
      </text>
    </comment>
    <comment ref="D21" authorId="0" shapeId="0">
      <text>
        <r>
          <rPr>
            <b/>
            <sz val="9"/>
            <color indexed="81"/>
            <rFont val="Tahoma"/>
            <family val="2"/>
          </rPr>
          <t>Trond Ivar Bøhn:</t>
        </r>
        <r>
          <rPr>
            <sz val="9"/>
            <color indexed="81"/>
            <rFont val="Tahoma"/>
            <family val="2"/>
          </rPr>
          <t xml:space="preserve">
Benytter Holte høy standard, men legger til 20 % for markedsutvikling siste årene, ref RIE</t>
        </r>
      </text>
    </comment>
    <comment ref="E21" authorId="0" shapeId="0">
      <text>
        <r>
          <rPr>
            <b/>
            <sz val="9"/>
            <color indexed="81"/>
            <rFont val="Tahoma"/>
            <family val="2"/>
          </rPr>
          <t>Trond Ivar Bøhn:</t>
        </r>
        <r>
          <rPr>
            <sz val="9"/>
            <color indexed="81"/>
            <rFont val="Tahoma"/>
            <family val="2"/>
          </rPr>
          <t xml:space="preserve">
Benytter Norsk Prisbok 2014</t>
        </r>
      </text>
    </comment>
  </commentList>
</comments>
</file>

<file path=xl/comments11.xml><?xml version="1.0" encoding="utf-8"?>
<comments xmlns="http://schemas.openxmlformats.org/spreadsheetml/2006/main">
  <authors>
    <author>Trond Ivar Bøhn</author>
  </authors>
  <commentList>
    <comment ref="E3" authorId="0" shapeId="0">
      <text>
        <r>
          <rPr>
            <b/>
            <sz val="9"/>
            <color indexed="81"/>
            <rFont val="Tahoma"/>
            <family val="2"/>
          </rPr>
          <t>Trond Ivar Bøhn:</t>
        </r>
        <r>
          <rPr>
            <sz val="9"/>
            <color indexed="81"/>
            <rFont val="Tahoma"/>
            <family val="2"/>
          </rPr>
          <t xml:space="preserve">
Avtalt med NVE å IKKE variere levetiden i beregningene av LCOE</t>
        </r>
      </text>
    </comment>
  </commentList>
</comments>
</file>

<file path=xl/comments12.xml><?xml version="1.0" encoding="utf-8"?>
<comments xmlns="http://schemas.openxmlformats.org/spreadsheetml/2006/main">
  <authors>
    <author>Trond Ivar Bøhn</author>
  </authors>
  <commentList>
    <comment ref="C29" authorId="0" shapeId="0">
      <text>
        <r>
          <rPr>
            <b/>
            <sz val="9"/>
            <color indexed="81"/>
            <rFont val="Tahoma"/>
            <family val="2"/>
          </rPr>
          <t>Trond Ivar Bøhn:</t>
        </r>
        <r>
          <rPr>
            <sz val="9"/>
            <color indexed="81"/>
            <rFont val="Tahoma"/>
            <family val="2"/>
          </rPr>
          <t xml:space="preserve">
Avtalt med NVE at det er tiltakets MERkostnad som skal danne laveste LCOE, mens det er ordinær tiltakskostnad som skal danne median og høy LCOE</t>
        </r>
      </text>
    </comment>
    <comment ref="C57" authorId="0" shapeId="0">
      <text>
        <r>
          <rPr>
            <b/>
            <sz val="9"/>
            <color indexed="81"/>
            <rFont val="Tahoma"/>
            <family val="2"/>
          </rPr>
          <t>Trond Ivar Bøhn:</t>
        </r>
        <r>
          <rPr>
            <sz val="9"/>
            <color indexed="81"/>
            <rFont val="Tahoma"/>
            <family val="2"/>
          </rPr>
          <t xml:space="preserve">
Avtalt med NVE at det er tiltakets MERkostnad som skal danne laveste LCOE, mens det er ordinær tiltakskostnad som skal danne median og høy LCOE</t>
        </r>
      </text>
    </comment>
  </commentList>
</comments>
</file>

<file path=xl/comments2.xml><?xml version="1.0" encoding="utf-8"?>
<comments xmlns="http://schemas.openxmlformats.org/spreadsheetml/2006/main">
  <authors>
    <author>Author</author>
    <author>Trond Ivar Bøhn</author>
    <author>Forfatter</author>
  </authors>
  <commentList>
    <comment ref="G16" authorId="0" shapeId="0">
      <text>
        <r>
          <rPr>
            <b/>
            <sz val="9"/>
            <color indexed="81"/>
            <rFont val="Tahoma"/>
            <family val="2"/>
          </rPr>
          <t>Author:</t>
        </r>
        <r>
          <rPr>
            <sz val="9"/>
            <color indexed="81"/>
            <rFont val="Tahoma"/>
            <family val="2"/>
          </rPr>
          <t xml:space="preserve">
Samlet glass-, vindus- og dørareal i forhold til bygningens nettoareal regnet inntil 10 m fra yttervegg for de oppvarmede delene av byggverket.</t>
        </r>
      </text>
    </comment>
    <comment ref="C17"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D17"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E17"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F17"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G17" authorId="1" shapeId="0">
      <text>
        <r>
          <rPr>
            <b/>
            <sz val="9"/>
            <color indexed="81"/>
            <rFont val="Tahoma"/>
            <family val="2"/>
          </rPr>
          <t>Trond Ivar Bøhn:</t>
        </r>
        <r>
          <rPr>
            <sz val="9"/>
            <color indexed="81"/>
            <rFont val="Tahoma"/>
            <family val="2"/>
          </rPr>
          <t xml:space="preserve">
Krav 0,22.
Småhus: 12mm Asfalt vindtett, 36x198 stender, 200mm min. ull, U-verdi 0,21. Referanse 471.012
Boligblokk:Bindingsverk i tre, 200mm min. ull,50mm kuldebrobryter, U-verdi 0,27. Referanse 471.015</t>
        </r>
      </text>
    </comment>
    <comment ref="H17" authorId="0" shapeId="0">
      <text>
        <r>
          <rPr>
            <b/>
            <sz val="9"/>
            <color indexed="81"/>
            <rFont val="Tahoma"/>
            <family val="2"/>
          </rPr>
          <t>Author:</t>
        </r>
        <r>
          <rPr>
            <sz val="9"/>
            <color indexed="81"/>
            <rFont val="Tahoma"/>
            <family val="2"/>
          </rPr>
          <t xml:space="preserve">
Samlet glass-, vindus- og dørareal i forhold til bygningens nettoareal regnet inntil 10 m fra yttervegg for de oppvarmede delene av byggverket.</t>
        </r>
      </text>
    </comment>
    <comment ref="I17" authorId="0" shapeId="0">
      <text>
        <r>
          <rPr>
            <b/>
            <sz val="8"/>
            <color indexed="81"/>
            <rFont val="Tahoma"/>
            <family val="2"/>
          </rPr>
          <t>Author:</t>
        </r>
        <r>
          <rPr>
            <sz val="8"/>
            <color indexed="81"/>
            <rFont val="Tahoma"/>
            <family val="2"/>
          </rPr>
          <t xml:space="preserve">
Må kunne forutsette samme arealandel</t>
        </r>
      </text>
    </comment>
    <comment ref="J17" authorId="0" shapeId="0">
      <text>
        <r>
          <rPr>
            <b/>
            <sz val="8"/>
            <color indexed="81"/>
            <rFont val="Tahoma"/>
            <family val="2"/>
          </rPr>
          <t>Author:</t>
        </r>
        <r>
          <rPr>
            <sz val="8"/>
            <color indexed="81"/>
            <rFont val="Tahoma"/>
            <family val="2"/>
          </rPr>
          <t xml:space="preserve">
Må kunne forutsette samme arealandel</t>
        </r>
      </text>
    </comment>
    <comment ref="K17" authorId="0" shapeId="0">
      <text>
        <r>
          <rPr>
            <b/>
            <sz val="8"/>
            <color indexed="81"/>
            <rFont val="Tahoma"/>
            <family val="2"/>
          </rPr>
          <t>Author:</t>
        </r>
        <r>
          <rPr>
            <sz val="8"/>
            <color indexed="81"/>
            <rFont val="Tahoma"/>
            <family val="2"/>
          </rPr>
          <t xml:space="preserve">
Må kunne forutsette samme arealandel</t>
        </r>
      </text>
    </comment>
    <comment ref="L17" authorId="0" shapeId="0">
      <text>
        <r>
          <rPr>
            <b/>
            <sz val="8"/>
            <color indexed="81"/>
            <rFont val="Tahoma"/>
            <family val="2"/>
          </rPr>
          <t>Author:</t>
        </r>
        <r>
          <rPr>
            <sz val="8"/>
            <color indexed="81"/>
            <rFont val="Tahoma"/>
            <family val="2"/>
          </rPr>
          <t xml:space="preserve">
Må kunne forutsette samme arealandel</t>
        </r>
      </text>
    </comment>
    <comment ref="M17" authorId="0" shapeId="0">
      <text>
        <r>
          <rPr>
            <b/>
            <sz val="8"/>
            <color indexed="81"/>
            <rFont val="Tahoma"/>
            <family val="2"/>
          </rPr>
          <t>Author:</t>
        </r>
        <r>
          <rPr>
            <sz val="8"/>
            <color indexed="81"/>
            <rFont val="Tahoma"/>
            <family val="2"/>
          </rPr>
          <t xml:space="preserve">
Må kunne forutsette samme arealandel</t>
        </r>
      </text>
    </comment>
    <comment ref="N17" authorId="0" shapeId="0">
      <text>
        <r>
          <rPr>
            <b/>
            <sz val="8"/>
            <color indexed="81"/>
            <rFont val="Tahoma"/>
            <family val="2"/>
          </rPr>
          <t>Author:</t>
        </r>
        <r>
          <rPr>
            <sz val="8"/>
            <color indexed="81"/>
            <rFont val="Tahoma"/>
            <family val="2"/>
          </rPr>
          <t xml:space="preserve">
Må kunne forutsette samme arealandel</t>
        </r>
      </text>
    </comment>
    <comment ref="O17" authorId="0" shapeId="0">
      <text>
        <r>
          <rPr>
            <b/>
            <sz val="8"/>
            <color indexed="81"/>
            <rFont val="Tahoma"/>
            <family val="2"/>
          </rPr>
          <t>Author:</t>
        </r>
        <r>
          <rPr>
            <sz val="8"/>
            <color indexed="81"/>
            <rFont val="Tahoma"/>
            <family val="2"/>
          </rPr>
          <t xml:space="preserve">
Må kunne forutsette samme arealandel</t>
        </r>
      </text>
    </comment>
    <comment ref="P17" authorId="0" shapeId="0">
      <text>
        <r>
          <rPr>
            <b/>
            <sz val="8"/>
            <color indexed="81"/>
            <rFont val="Tahoma"/>
            <family val="2"/>
          </rPr>
          <t>Author:</t>
        </r>
        <r>
          <rPr>
            <sz val="8"/>
            <color indexed="81"/>
            <rFont val="Tahoma"/>
            <family val="2"/>
          </rPr>
          <t xml:space="preserve">
Må kunne forutsette samme arealandel</t>
        </r>
      </text>
    </comment>
    <comment ref="C18" authorId="1" shapeId="0">
      <text>
        <r>
          <rPr>
            <b/>
            <sz val="9"/>
            <color indexed="81"/>
            <rFont val="Tahoma"/>
            <family val="2"/>
          </rPr>
          <t>Trond Ivar Bøhn:</t>
        </r>
        <r>
          <rPr>
            <sz val="9"/>
            <color indexed="81"/>
            <rFont val="Tahoma"/>
            <family val="2"/>
          </rPr>
          <t xml:space="preserve">
Krav 0,18.
Småhus: 36x98 utforing,36x148 stender, 250mm min. ull, U-verdi 0,17. Referanse 471.012
Boligblokk: Bindingsverk i tre, 200mm min. ull,100mm kuldebrobryter, U-verdi 0,22. Referanse 471.015</t>
        </r>
      </text>
    </comment>
    <comment ref="E18" authorId="1" shapeId="0">
      <text>
        <r>
          <rPr>
            <b/>
            <sz val="9"/>
            <color indexed="81"/>
            <rFont val="Tahoma"/>
            <family val="2"/>
          </rPr>
          <t>Trond Ivar Bøhn:</t>
        </r>
        <r>
          <rPr>
            <sz val="9"/>
            <color indexed="81"/>
            <rFont val="Tahoma"/>
            <family val="2"/>
          </rPr>
          <t xml:space="preserve">
Krav 0,18.
Småhus: 36x98 utforing,36x148 stender, 250mm min. ull, U-verdi 0,17. Referanse 471.012
Boligblokk: Bindingsverk i tre, 200mm min. ull,100mm kuldebrobryter, U-verdi 0,22. Referanse 471.015</t>
        </r>
      </text>
    </comment>
    <comment ref="G18" authorId="0" shapeId="0">
      <text>
        <r>
          <rPr>
            <b/>
            <sz val="8"/>
            <color indexed="81"/>
            <rFont val="Tahoma"/>
            <family val="2"/>
          </rPr>
          <t>Author:</t>
        </r>
        <r>
          <rPr>
            <sz val="8"/>
            <color indexed="81"/>
            <rFont val="Tahoma"/>
            <family val="2"/>
          </rPr>
          <t xml:space="preserve">
Krav 0,15. 
Småhus: . Fundament gulv. 250mm markplate, 100mm armert betong, U-verdi 0,15. Referanse 521.112.
Boligblokk: Gulv mot uoppvarmet kjeller. Betong hulldekke, 220mm min. ull, U-verdi 0,14. Referanse 471.011 / 471.009</t>
        </r>
      </text>
    </comment>
    <comment ref="H18" authorId="1" shapeId="0">
      <text>
        <r>
          <rPr>
            <b/>
            <sz val="9"/>
            <color indexed="81"/>
            <rFont val="Tahoma"/>
            <family val="2"/>
          </rPr>
          <t>Trond Ivar Bøhn:</t>
        </r>
        <r>
          <rPr>
            <sz val="9"/>
            <color indexed="81"/>
            <rFont val="Tahoma"/>
            <family val="2"/>
          </rPr>
          <t xml:space="preserve">
Krav 0,22</t>
        </r>
      </text>
    </comment>
    <comment ref="I18" authorId="1" shapeId="0">
      <text>
        <r>
          <rPr>
            <b/>
            <sz val="9"/>
            <color indexed="81"/>
            <rFont val="Tahoma"/>
            <family val="2"/>
          </rPr>
          <t>Trond Ivar Bøhn:</t>
        </r>
        <r>
          <rPr>
            <sz val="9"/>
            <color indexed="81"/>
            <rFont val="Tahoma"/>
            <family val="2"/>
          </rPr>
          <t xml:space="preserve">
U-verdi krav 0,30.
Småhus: 36x148 stender, 150mm min. ull, U-verdi 0,28. Referanse 471.012
Boligblokk: Bindingsverk i tre, 150mm min. ull,50mm kuldebrobryter, U-verdi 0,29. Referanse 471.015</t>
        </r>
      </text>
    </comment>
    <comment ref="J18" authorId="1" shapeId="0">
      <text>
        <r>
          <rPr>
            <b/>
            <sz val="9"/>
            <color indexed="81"/>
            <rFont val="Tahoma"/>
            <family val="2"/>
          </rPr>
          <t>Trond Ivar Bøhn:</t>
        </r>
        <r>
          <rPr>
            <sz val="9"/>
            <color indexed="81"/>
            <rFont val="Tahoma"/>
            <family val="2"/>
          </rPr>
          <t xml:space="preserve">
U-verdi krav 0,30</t>
        </r>
      </text>
    </comment>
    <comment ref="K18" authorId="0" shapeId="0">
      <text>
        <r>
          <rPr>
            <b/>
            <sz val="8"/>
            <color indexed="81"/>
            <rFont val="Tahoma"/>
            <family val="2"/>
          </rPr>
          <t>Author:</t>
        </r>
        <r>
          <rPr>
            <sz val="8"/>
            <color indexed="81"/>
            <rFont val="Tahoma"/>
            <family val="2"/>
          </rPr>
          <t xml:space="preserve">
Oslo = Sone 3. 
U-verdi krav for vegg med masse over 100 kg/m2 er 1,04. 
U-verdi krav for Vegg med masse høyst 100 kg/m2 er 0,58.
Småhus: Bindingsverk med 100mm isolasjon, U-verdi 0,40. (BDB 471.012.)
Boligblokk: Typisk massiv mur eller betong med treullsement eller lettbetong. U-verdi 0,70.
Dette var vanlig byggemåte og isolasjonsstandard ikke bare fom. TE69 men i iallefalll også 10 år før.
Med dette vises at vanlig bygge- og isolasjonsstandard på den tiden var bedre enn forskriftskravene. Forskriftskravene var meget konservative og ble satt lavt bla. for å ikke ekskludere enkelte løsninger og dermed materialleverandører.
</t>
        </r>
      </text>
    </comment>
    <comment ref="L18" authorId="0" shapeId="0">
      <text>
        <r>
          <rPr>
            <b/>
            <sz val="8"/>
            <color indexed="81"/>
            <rFont val="Tahoma"/>
            <family val="2"/>
          </rPr>
          <t>Author:</t>
        </r>
        <r>
          <rPr>
            <sz val="8"/>
            <color indexed="81"/>
            <rFont val="Tahoma"/>
            <family val="2"/>
          </rPr>
          <t xml:space="preserve">
Oslo = Sone 3. 
U-verdi krav for vegg med masse over 100 kg/m2 er 1,04. 
U-verdi krav for Vegg med masse høyst 100 kg/m2 er 0,58.
De fleste næringsbygg: Typisk massiv mur eller betong med treullsement eller lettbetong. U-verdi 0,70.
Mange bygg også oppført i lette trekonstruksjoner med yttervegger av 100mm bindingsverk, typisk U-verdi 0,40. Antar dette for barnehage og sykehjem, da disse to bygningskategoriene også i gjennomsnitt er nyere. 
Dette var vanlig byggemåte og isolasjonsstandard ikke bare fom. TE69 men i iallefalll også 10 år før.
Med dette vises at vanlig bygge- og isolasjonsstandard på den tiden var bedre enn forskriftskravene. Forskriftskravene var meget konservative og ble satt lavt bla. for å ikke ekskludere enkelte løsninger og dermed materialleverandører.
</t>
        </r>
      </text>
    </comment>
    <comment ref="M18" authorId="0" shapeId="0">
      <text>
        <r>
          <rPr>
            <b/>
            <sz val="9"/>
            <color indexed="81"/>
            <rFont val="Tahoma"/>
            <family val="2"/>
          </rPr>
          <t>Author:</t>
        </r>
        <r>
          <rPr>
            <sz val="9"/>
            <color indexed="81"/>
            <rFont val="Tahoma"/>
            <family val="2"/>
          </rPr>
          <t xml:space="preserve">
Oslo = Sone 3.  
U-verdi krav 1,05 for bygninger av mur/brannfast. 0,81 for trebygninger.
Småhus: Lett bindingsverk, 48x98 stender, 100mm min. ull, U-verdi 0,50. Referanse: 723.511
Boligblokk: 
betong, 100mm porebetong, U-verdi 0,96. Referanse: 723.312</t>
        </r>
      </text>
    </comment>
    <comment ref="N18" authorId="0" shapeId="0">
      <text>
        <r>
          <rPr>
            <b/>
            <sz val="9"/>
            <color indexed="81"/>
            <rFont val="Tahoma"/>
            <family val="2"/>
          </rPr>
          <t>Author:</t>
        </r>
        <r>
          <rPr>
            <sz val="9"/>
            <color indexed="81"/>
            <rFont val="Tahoma"/>
            <family val="2"/>
          </rPr>
          <t xml:space="preserve">
Oslo = Sone 3. 
U-verdi krav 1,05 for bygninger av mur/brannfast. 0,81 for trebygninger.
De fleste yrkesbygg antas som for boligblokk: 
Betong, 100mm porebetong, U-verdi 0,96. Referanse: 723.312
Alternativt: Massive murvegger eller betong med faststøpt 75mm treullsement eller lettbetong.
Barnehage og sykehjem antas som for småhus: Lett bindingsverk, 48x98 stender, 100mm min. ull, U-verdi 0,50. Referanse: 723.511
</t>
        </r>
      </text>
    </comment>
    <comment ref="O18" authorId="0" shapeId="0">
      <text>
        <r>
          <rPr>
            <b/>
            <sz val="9"/>
            <color indexed="81"/>
            <rFont val="Tahoma"/>
            <family val="2"/>
          </rPr>
          <t>Author:</t>
        </r>
        <r>
          <rPr>
            <sz val="9"/>
            <color indexed="81"/>
            <rFont val="Tahoma"/>
            <family val="2"/>
          </rPr>
          <t xml:space="preserve">
U-verdi 1,3 tilsvarer 1 1/2 steins massiv teglsteinsvegg med middels densitet. Det ligger også i nærheten av vanlige hulmurer av tegl. Derfor kan dette sies å være representativt for perioden.
Barnehage og sykehjem antas som for småhus: Tungt bindingsverk, 100mm stender, uisolert, U-verdi 0,96. Referanse: 723.511</t>
        </r>
      </text>
    </comment>
    <comment ref="P18" authorId="0" shapeId="0">
      <text>
        <r>
          <rPr>
            <b/>
            <sz val="9"/>
            <color indexed="81"/>
            <rFont val="Tahoma"/>
            <family val="2"/>
          </rPr>
          <t>Author:</t>
        </r>
        <r>
          <rPr>
            <sz val="9"/>
            <color indexed="81"/>
            <rFont val="Tahoma"/>
            <family val="2"/>
          </rPr>
          <t xml:space="preserve">
Småhus: Tungt bindingsverk, 100mm stender, uisolert, U-verdi 0,96. Referanse: 723.511
Boligblokk: 
U-verdi 1,3 tilsvarer 1 1/2 steins massiv teglsteinsvegg med middels densitet. Det ligger også i nærheten av vanlige hulmurer av tegl. </t>
        </r>
      </text>
    </comment>
    <comment ref="C19" authorId="1" shapeId="0">
      <text>
        <r>
          <rPr>
            <b/>
            <sz val="9"/>
            <color indexed="81"/>
            <rFont val="Tahoma"/>
            <family val="2"/>
          </rPr>
          <t>Trond Ivar Bøhn:</t>
        </r>
        <r>
          <rPr>
            <sz val="9"/>
            <color indexed="81"/>
            <rFont val="Tahoma"/>
            <family val="2"/>
          </rPr>
          <t xml:space="preserve">
Krav 0,15.
Småhus: Fundament gulv. 250mm markplate, 100mm armert betong, U-verdi 0,15. Referanse 521.112.
Boligblokk: Gulv mor uoppvarmet kjeller. 250mm markplate, 100mm armert betong, U-verdi 0,15. Referanse 521.112.</t>
        </r>
      </text>
    </comment>
    <comment ref="E19" authorId="1" shapeId="0">
      <text>
        <r>
          <rPr>
            <b/>
            <sz val="9"/>
            <color indexed="81"/>
            <rFont val="Tahoma"/>
            <family val="2"/>
          </rPr>
          <t>Trond Ivar Bøhn:</t>
        </r>
        <r>
          <rPr>
            <sz val="9"/>
            <color indexed="81"/>
            <rFont val="Tahoma"/>
            <family val="2"/>
          </rPr>
          <t xml:space="preserve">
Krav 0,15.
Småhus: Fundament gulv. 250mm markplate, 100mm armert betong, U-verdi 0,15. Referanse 521.112.
Boligblokk: Gulv mor uoppvarmet kjeller. 250mm markplate, 100mm armert betong, U-verdi 0,15. Referanse 521.112.</t>
        </r>
      </text>
    </comment>
    <comment ref="G19" authorId="1" shapeId="0">
      <text>
        <r>
          <rPr>
            <b/>
            <sz val="9"/>
            <color indexed="81"/>
            <rFont val="Tahoma"/>
            <family val="2"/>
          </rPr>
          <t>Trond Ivar Bøhn:</t>
        </r>
        <r>
          <rPr>
            <sz val="9"/>
            <color indexed="81"/>
            <rFont val="Tahoma"/>
            <family val="2"/>
          </rPr>
          <t xml:space="preserve">
Krav 0,15.
Småhus: Oppvarmet loft. I-bjelker, 300mm min. ull, U-verdi 0,14. Referanse 471.013
Boliblokk: Flatt tak mot det fri. Betong hulldekke, 220mm min. ull, U-verdi 0,14. Referanse 471.011</t>
        </r>
      </text>
    </comment>
    <comment ref="H19" authorId="0" shapeId="0">
      <text>
        <r>
          <rPr>
            <b/>
            <sz val="8"/>
            <color indexed="81"/>
            <rFont val="Tahoma"/>
            <family val="2"/>
          </rPr>
          <t>Author:</t>
        </r>
        <r>
          <rPr>
            <sz val="8"/>
            <color indexed="81"/>
            <rFont val="Tahoma"/>
            <family val="2"/>
          </rPr>
          <t xml:space="preserve">
U-verdi krav 0,15 gjelder gulv på grunn</t>
        </r>
      </text>
    </comment>
    <comment ref="I19" authorId="0" shapeId="0">
      <text>
        <r>
          <rPr>
            <b/>
            <sz val="8"/>
            <color indexed="81"/>
            <rFont val="Tahoma"/>
            <family val="2"/>
          </rPr>
          <t>Author:</t>
        </r>
        <r>
          <rPr>
            <sz val="8"/>
            <color indexed="81"/>
            <rFont val="Tahoma"/>
            <family val="2"/>
          </rPr>
          <t xml:space="preserve">
U-verdi 0,30 gjelder gulv på grunn. For gulv mot det fri var kravet 0,20.
Småhus: Fundament gulv. 80mm armert betong 150mm markplate, ringmur 250mm lettklinkerblokk, U-verdi 0,25. Referanse 521.112
Boligblokk: Gulv mor uoppvarmet kjeller. Betonggulv med 120mm min. ull. U-verdi konstruksjon 0,27. U-verdi effektiv 0,20. Referanse 471.011 / 471.009</t>
        </r>
      </text>
    </comment>
    <comment ref="J19" authorId="0" shapeId="0">
      <text>
        <r>
          <rPr>
            <b/>
            <sz val="8"/>
            <color indexed="81"/>
            <rFont val="Tahoma"/>
            <family val="2"/>
          </rPr>
          <t>Author:</t>
        </r>
        <r>
          <rPr>
            <sz val="8"/>
            <color indexed="81"/>
            <rFont val="Tahoma"/>
            <family val="2"/>
          </rPr>
          <t xml:space="preserve">
U-verdi 0,30 gjelder gulv på grunn. For gulv mot det fri var kravet 0,20.</t>
        </r>
      </text>
    </comment>
    <comment ref="K19" authorId="0" shapeId="0">
      <text>
        <r>
          <rPr>
            <b/>
            <sz val="8"/>
            <color indexed="81"/>
            <rFont val="Tahoma"/>
            <family val="2"/>
          </rPr>
          <t>Author:</t>
        </r>
        <r>
          <rPr>
            <sz val="8"/>
            <color indexed="81"/>
            <rFont val="Tahoma"/>
            <family val="2"/>
          </rPr>
          <t xml:space="preserve">
Oslo = Sone 3. 
U-verdi krav gulv mot det fri 0,46.
Representativ U-verdi for de fleste bygg i perioden er ca 0,3.
Gulv på grunn, 5 cm isolasjon, U-verdi 0,30.
Det var også vanlig med trebjelkelag eller betongkonstruksjoner med 150mm isolasjon som gav U-verdi ca 0,3. 
Med dette vises at vanlig bygge- og isolasjonsstandard på den tiden var vesentlig bedre enn forskriftskravene. 
</t>
        </r>
      </text>
    </comment>
    <comment ref="L19" authorId="0" shapeId="0">
      <text>
        <r>
          <rPr>
            <b/>
            <sz val="8"/>
            <color indexed="81"/>
            <rFont val="Tahoma"/>
            <family val="2"/>
          </rPr>
          <t>Author:</t>
        </r>
        <r>
          <rPr>
            <sz val="8"/>
            <color indexed="81"/>
            <rFont val="Tahoma"/>
            <family val="2"/>
          </rPr>
          <t xml:space="preserve">
Oslo = Sone 3. 
U-verdi krav gulv mot det fri 0,46.
Representativ U-verdi for de fleste bygg i perioden er ca 0,3.
Gulv på grunn, 5 cm isolasjon, U-verdi 0,30.
Det var også vanlig med trebjelkelag eller betongkonstruksjoner med 150mm isolasjon som gav U-verdi ca 0,3. 
Med dette vises at vanlig bygge- og isolasjonsstandard på den tiden var vesentlig bedre enn forskriftskravene. 
</t>
        </r>
      </text>
    </comment>
    <comment ref="M19" authorId="0" shapeId="0">
      <text>
        <r>
          <rPr>
            <b/>
            <sz val="9"/>
            <color indexed="81"/>
            <rFont val="Tahoma"/>
            <family val="2"/>
          </rPr>
          <t>Author:</t>
        </r>
        <r>
          <rPr>
            <sz val="9"/>
            <color indexed="81"/>
            <rFont val="Tahoma"/>
            <family val="2"/>
          </rPr>
          <t xml:space="preserve">
Gulv på grunn ble aldri isolert. Men gulv på grunn eller mot kjeller gav jo god varmemotstand. Antar representativt gulv mot uoppvarmet kjeller. 
Småhus: 48x198 just, 100mm min. ull, U-verdi konstruksjon 0,35. Effektiv U-verdi 0,28. Referanse 471.011 / 471.009
Boligblokk: Betonggulv, 50mm min. ull, U-verdi konstruksjon 0,57. Effektiv U-verdi 0,38. Referanse 722.506 / 471.009</t>
        </r>
      </text>
    </comment>
    <comment ref="N19" authorId="0" shapeId="0">
      <text>
        <r>
          <rPr>
            <b/>
            <sz val="9"/>
            <color indexed="81"/>
            <rFont val="Tahoma"/>
            <family val="2"/>
          </rPr>
          <t>Author:</t>
        </r>
        <r>
          <rPr>
            <sz val="9"/>
            <color indexed="81"/>
            <rFont val="Tahoma"/>
            <family val="2"/>
          </rPr>
          <t xml:space="preserve">
Regneeksempel:
Gulv på grunn med u-verdi konstr.=3, dybde under terreng=0 m, grunnforhold fjell og grunnflate=150 m2 har total u-verdi ca 0,8 W/m2K
Tilsvarende med dybde under terreng = 1,5 m har u-verdi = ca 0,4 W/m2k.
Beregninger gjennomført i SIMIEN
På bakgrunn av dette settes gjennomsnittlig u-verdi for yrkesbygg eldre enn 1969 til 0,6 W/m2K, med antagelse om at det ikke ble brukt markisolasjon i kontruksjonen.</t>
        </r>
      </text>
    </comment>
    <comment ref="O19" authorId="0" shapeId="0">
      <text>
        <r>
          <rPr>
            <b/>
            <sz val="9"/>
            <color indexed="81"/>
            <rFont val="Tahoma"/>
            <family val="2"/>
          </rPr>
          <t>Author:</t>
        </r>
        <r>
          <rPr>
            <sz val="9"/>
            <color indexed="81"/>
            <rFont val="Tahoma"/>
            <family val="2"/>
          </rPr>
          <t xml:space="preserve">
Gulv på grunn ble aldri isolert. Men gulv på grunn eller mot kjeller gav jo god varmemotstand. Setter U-verdi samme som for TEK49, se kommentar.</t>
        </r>
      </text>
    </comment>
    <comment ref="P19" authorId="0" shapeId="0">
      <text>
        <r>
          <rPr>
            <b/>
            <sz val="9"/>
            <color indexed="81"/>
            <rFont val="Tahoma"/>
            <family val="2"/>
          </rPr>
          <t>Author:</t>
        </r>
        <r>
          <rPr>
            <sz val="9"/>
            <color indexed="81"/>
            <rFont val="Tahoma"/>
            <family val="2"/>
          </rPr>
          <t xml:space="preserve">
Gulv på grunn ble aldri isolert. Men gulv på grunn eller mot kjeller gav jo god varmemotstand. Antar representativt gulv mot uoppvarmet kjeller. 
Småhus: 150x200mm bjelker m/ stubbeloftsleire, U-verdi konstruksjon 0,96. Effektiv U-verdi 0,61. Referanse 722.506 / 471.009
Boligblokk: 150x200mm bjelker m/ stubbeloftsleire, U-verdi konstruksjon 0,96. Effektiv U-verdi 0,55. Referanse 722.506 / 471.009/723.312</t>
        </r>
      </text>
    </comment>
    <comment ref="C20" authorId="1" shapeId="0">
      <text>
        <r>
          <rPr>
            <b/>
            <sz val="9"/>
            <color indexed="81"/>
            <rFont val="Tahoma"/>
            <family val="2"/>
          </rPr>
          <t>Trond Ivar Bøhn:</t>
        </r>
        <r>
          <rPr>
            <sz val="9"/>
            <color indexed="81"/>
            <rFont val="Tahoma"/>
            <family val="2"/>
          </rPr>
          <t xml:space="preserve">
Krav 0,13.
Småhus: Oppvarmet loft. I-bjelker, 350mm min. ull, U-verdi 0,12. Referanse 471.013
Boligblokk: Flatt tak mot det fri. Betong hulldekke, 220mm min. ull, U-verdi 0,14. Referanse 471.011</t>
        </r>
      </text>
    </comment>
    <comment ref="E20" authorId="1" shapeId="0">
      <text>
        <r>
          <rPr>
            <b/>
            <sz val="9"/>
            <color indexed="81"/>
            <rFont val="Tahoma"/>
            <family val="2"/>
          </rPr>
          <t>Trond Ivar Bøhn:</t>
        </r>
        <r>
          <rPr>
            <sz val="9"/>
            <color indexed="81"/>
            <rFont val="Tahoma"/>
            <family val="2"/>
          </rPr>
          <t xml:space="preserve">
Krav 0,13.
Småhus: Oppvarmet loft. I-bjelker, 350mm min. ull, U-verdi 0,12. Referanse 471.013
Boligblokk: Flatt tak mot det fri. Betong hulldekke, 220mm min. ull, U-verdi 0,14. Referanse 471.011</t>
        </r>
      </text>
    </comment>
    <comment ref="G20" authorId="1" shapeId="0">
      <text>
        <r>
          <rPr>
            <b/>
            <sz val="9"/>
            <color indexed="81"/>
            <rFont val="Tahoma"/>
            <family val="2"/>
          </rPr>
          <t>Trond Ivar Bøhn:</t>
        </r>
        <r>
          <rPr>
            <sz val="9"/>
            <color indexed="81"/>
            <rFont val="Tahoma"/>
            <family val="2"/>
          </rPr>
          <t xml:space="preserve">
Krav 1,6</t>
        </r>
      </text>
    </comment>
    <comment ref="H20" authorId="1" shapeId="0">
      <text>
        <r>
          <rPr>
            <b/>
            <sz val="9"/>
            <color indexed="81"/>
            <rFont val="Tahoma"/>
            <family val="2"/>
          </rPr>
          <t>Trond Ivar Bøhn:</t>
        </r>
        <r>
          <rPr>
            <sz val="9"/>
            <color indexed="81"/>
            <rFont val="Tahoma"/>
            <family val="2"/>
          </rPr>
          <t xml:space="preserve">
Krav 0,15</t>
        </r>
      </text>
    </comment>
    <comment ref="I20" authorId="1" shapeId="0">
      <text>
        <r>
          <rPr>
            <b/>
            <sz val="9"/>
            <color indexed="81"/>
            <rFont val="Tahoma"/>
            <family val="2"/>
          </rPr>
          <t>Trond Ivar Bøhn:</t>
        </r>
        <r>
          <rPr>
            <sz val="9"/>
            <color indexed="81"/>
            <rFont val="Tahoma"/>
            <family val="2"/>
          </rPr>
          <t xml:space="preserve">
U-verdi krav 0,20.
Småhus: Oppvarmet loft. 48x148+98 bjelker, 250mm min. ull, U-verdi 0,18. Referanse 471.013
Boligblokk: Flatt tak mot det fri. Betongdekke 180mm min. ull, U-verdi 0,20. Referanse 471.013</t>
        </r>
      </text>
    </comment>
    <comment ref="J20" authorId="1" shapeId="0">
      <text>
        <r>
          <rPr>
            <b/>
            <sz val="9"/>
            <color indexed="81"/>
            <rFont val="Tahoma"/>
            <family val="2"/>
          </rPr>
          <t>Trond Ivar Bøhn:</t>
        </r>
        <r>
          <rPr>
            <sz val="9"/>
            <color indexed="81"/>
            <rFont val="Tahoma"/>
            <family val="2"/>
          </rPr>
          <t xml:space="preserve">
U-verdi krav 0,20</t>
        </r>
      </text>
    </comment>
    <comment ref="K20" authorId="0" shapeId="0">
      <text>
        <r>
          <rPr>
            <b/>
            <sz val="8"/>
            <color indexed="81"/>
            <rFont val="Tahoma"/>
            <family val="2"/>
          </rPr>
          <t>Author:</t>
        </r>
        <r>
          <rPr>
            <sz val="8"/>
            <color indexed="81"/>
            <rFont val="Tahoma"/>
            <family val="2"/>
          </rPr>
          <t xml:space="preserve">
Oslo = Sone 3. 
U-verdi krav for trekonstruksjon er 0,46 og for andre konstruksjoner 0,58. 
Småhus: Tretak hvor det sjelden ble lagt mindre enn 150mm isolasjon, U-verdi rett i underkant av 0,3. 
Boligblokk: Kompakttak, 100mm skumplastisolasjon, U-verdi ca 0,35.
Dette var vanlig byggemåte og isolasjonsstandard ikke bare fom. TE69 men i allefalll også 10 år før.
Med dette vises at vanlig bygge- og isolasjonsstandard på den tiden var vesentlig bedre enn forskriftskravene. Forskriftskravene var meget konservative og ble satt lavt bla. for å ikke ekskludere enkelte løsninger og dermed materialleverandører.</t>
        </r>
      </text>
    </comment>
    <comment ref="L20" authorId="0" shapeId="0">
      <text>
        <r>
          <rPr>
            <b/>
            <sz val="8"/>
            <color indexed="81"/>
            <rFont val="Tahoma"/>
            <family val="2"/>
          </rPr>
          <t>Author:</t>
        </r>
        <r>
          <rPr>
            <sz val="8"/>
            <color indexed="81"/>
            <rFont val="Tahoma"/>
            <family val="2"/>
          </rPr>
          <t xml:space="preserve">
Oslo = Sone 3. 
U-verdi krav for trekonstruksjon 0,46 og andre konstruksjoner 0,58.
Representativ U-verdi for de fleste bygg i perioden er ca 0,35.
Mange bygg med flate tak, type kompakttak hvor det ble lagt 100mm skumplast isolasjon, U-verdi ca 0,35. 
For barnehage og sykehjem (fordi disse to bygningskategoriene også i gjennomsnitt er nyere) antas tretak med 150mm isolasjon, U-verdi rett i underkant av 0,3.
For idrettsbygg var det imidlertid vanlig med noe dårligere isolasjonsstandard. Representativ U-verdi er ca lik forskriftskravet på 0,58. Vanlig med leca med 3-5 cm isolasjon eller gassbetongtak uten ekstra isolasjon.
Dette var vanlig byggemåte og isolasjonsstandard ikke bare fom. TE69 men i allefalll også 10 år før.
Med dette vises at vanlig bygge- og isolasjonsstandard på den tiden var vesentlig bedre enn forskriftskravene. Forskriftskravene var meget konservative og ble satt lavt bla. for å ikke ekskludere enkelte løsninger og dermed materialleverandører.
</t>
        </r>
      </text>
    </comment>
    <comment ref="M20" authorId="0" shapeId="0">
      <text>
        <r>
          <rPr>
            <b/>
            <sz val="9"/>
            <color indexed="81"/>
            <rFont val="Tahoma"/>
            <family val="2"/>
          </rPr>
          <t>Author:</t>
        </r>
        <r>
          <rPr>
            <sz val="9"/>
            <color indexed="81"/>
            <rFont val="Tahoma"/>
            <family val="2"/>
          </rPr>
          <t xml:space="preserve">
Oslo = Sone 3. 
U-verdi krav på 0,81
Småhus: Kaldtloft. 48x198mm bjelker, 100mm min. ull. U-verdi konstruksjon 0,35. Effektiv U-verdi 0,33. Referanse 722.506 / 471.008
Boligblokk: Kaldtloft. Betonggulv, 100mm min. ull. U-verdi konstruksjon 0,35. Effektiv U-verdi 0,33. Referanse 722.506 / 471.008</t>
        </r>
      </text>
    </comment>
    <comment ref="N20" authorId="0" shapeId="0">
      <text>
        <r>
          <rPr>
            <b/>
            <sz val="9"/>
            <color indexed="81"/>
            <rFont val="Tahoma"/>
            <family val="2"/>
          </rPr>
          <t>Author:</t>
        </r>
        <r>
          <rPr>
            <sz val="9"/>
            <color indexed="81"/>
            <rFont val="Tahoma"/>
            <family val="2"/>
          </rPr>
          <t xml:space="preserve">
Oslo = Sone 3. 
U-verdi krav på 0,81 kan sies å være representativt for perioden.</t>
        </r>
      </text>
    </comment>
    <comment ref="O20" authorId="0" shapeId="0">
      <text>
        <r>
          <rPr>
            <b/>
            <sz val="9"/>
            <color indexed="81"/>
            <rFont val="Tahoma"/>
            <family val="2"/>
          </rPr>
          <t>Author:</t>
        </r>
        <r>
          <rPr>
            <sz val="9"/>
            <color indexed="81"/>
            <rFont val="Tahoma"/>
            <family val="2"/>
          </rPr>
          <t xml:space="preserve">
For etasjeskiller av betong: Vanlig med sydd matte på ca 3cm over betongdekke gir U-verdi ca 1,0. Alternativt bjelkelag med leire med U-verdi i området 0,75 - 0,90, men dette var mest vanlig for boligblokker. Derfor representativt med 1,0.
Barnehage og sykehjem antas som for småhus: Kaldtloft. 150x200mm bjelker m/ stubbeloftsleire. U-verdi konstruksjon 0,96. Effektiv U-verdi 0,81. Referanse 722.506 / 471.008. Som forøvrig er samme U-verdi krav som i TEK49.
</t>
        </r>
      </text>
    </comment>
    <comment ref="P20" authorId="0" shapeId="0">
      <text>
        <r>
          <rPr>
            <b/>
            <sz val="9"/>
            <color indexed="81"/>
            <rFont val="Tahoma"/>
            <family val="2"/>
          </rPr>
          <t>Author:</t>
        </r>
        <r>
          <rPr>
            <sz val="9"/>
            <color indexed="81"/>
            <rFont val="Tahoma"/>
            <family val="2"/>
          </rPr>
          <t xml:space="preserve">
Småhus: Kaldtloft. 150x200mm bjelker m/ stubbeloftsleire. U-verdi konstruksjon 0,96. Effektiv U-verdi 0,81. Referanse 722.506 / 471.008
Boligblokk: Bjelkelag med leire med U-verdi i området 0,75 - 0,90, antar representativt 0,81 slik som eksempelet for småhus. Referanse 722.506 / 471.008
</t>
        </r>
      </text>
    </comment>
    <comment ref="G21"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
Eksempelvis sier bygningsfysiker at selv om kravet i TEK97 var 0,22 for yttervegger inkl. kuldebroer, ble det valgt isolasjon som tilfredsstilte 0,22 for veggelementet separat og man regnet ikke inn noen kuldebro, med det resultat at datidens yttervegger i virkeligheten fikk en U-verdi inkl. kuldebroer på i størrelsesorden 0,26.    </t>
        </r>
      </text>
    </comment>
    <comment ref="H21" authorId="1" shapeId="0">
      <text>
        <r>
          <rPr>
            <b/>
            <sz val="9"/>
            <color indexed="81"/>
            <rFont val="Tahoma"/>
            <family val="2"/>
          </rPr>
          <t>Trond Ivar Bøhn:</t>
        </r>
        <r>
          <rPr>
            <sz val="9"/>
            <color indexed="81"/>
            <rFont val="Tahoma"/>
            <family val="2"/>
          </rPr>
          <t xml:space="preserve">
Krav 2,0</t>
        </r>
      </text>
    </comment>
    <comment ref="I21" authorId="0" shapeId="0">
      <text>
        <r>
          <rPr>
            <b/>
            <sz val="8"/>
            <color indexed="81"/>
            <rFont val="Tahoma"/>
            <family val="2"/>
          </rPr>
          <t>Author:</t>
        </r>
        <r>
          <rPr>
            <sz val="8"/>
            <color indexed="81"/>
            <rFont val="Tahoma"/>
            <family val="2"/>
          </rPr>
          <t xml:space="preserve">
Kravet til dører er 2,0. Men i SIMIEN-filene er ikke dører spesifisert, kun vinduer, så da brukes kravet for vinduer på 2,4. Arealandelen dører ift. vinduer er uansett ikke stor.</t>
        </r>
      </text>
    </comment>
    <comment ref="J21" authorId="0" shapeId="0">
      <text>
        <r>
          <rPr>
            <b/>
            <sz val="8"/>
            <color indexed="81"/>
            <rFont val="Tahoma"/>
            <family val="2"/>
          </rPr>
          <t>Author:</t>
        </r>
        <r>
          <rPr>
            <sz val="8"/>
            <color indexed="81"/>
            <rFont val="Tahoma"/>
            <family val="2"/>
          </rPr>
          <t xml:space="preserve">
Gjelder vinduer. (Dører hadde krav 2,0). Men i SIMIEN-bygningsmodellen er det kun vinduer...</t>
        </r>
      </text>
    </comment>
    <comment ref="K21" authorId="0" shapeId="0">
      <text>
        <r>
          <rPr>
            <b/>
            <sz val="8"/>
            <color indexed="81"/>
            <rFont val="Tahoma"/>
            <family val="2"/>
          </rPr>
          <t>Author:</t>
        </r>
        <r>
          <rPr>
            <sz val="8"/>
            <color indexed="81"/>
            <rFont val="Tahoma"/>
            <family val="2"/>
          </rPr>
          <t xml:space="preserve">
Konservativ verdi er 2,80 for isolerglassrute dvs. dobbelt glass, luftfylt, forseglet.
</t>
        </r>
      </text>
    </comment>
    <comment ref="L21" authorId="0" shapeId="0">
      <text>
        <r>
          <rPr>
            <b/>
            <sz val="8"/>
            <color indexed="81"/>
            <rFont val="Tahoma"/>
            <family val="2"/>
          </rPr>
          <t>Author:</t>
        </r>
        <r>
          <rPr>
            <sz val="8"/>
            <color indexed="81"/>
            <rFont val="Tahoma"/>
            <family val="2"/>
          </rPr>
          <t xml:space="preserve">
Konservativ verdi er 2,80 for isolerglassrute dvs. dobbelt glass, luftfylt, forseglet.
</t>
        </r>
      </text>
    </comment>
    <comment ref="M21" authorId="0" shapeId="0">
      <text>
        <r>
          <rPr>
            <b/>
            <sz val="9"/>
            <color indexed="81"/>
            <rFont val="Tahoma"/>
            <family val="2"/>
          </rPr>
          <t>Author:</t>
        </r>
        <r>
          <rPr>
            <sz val="9"/>
            <color indexed="81"/>
            <rFont val="Tahoma"/>
            <family val="2"/>
          </rPr>
          <t xml:space="preserve">
Vanlig med dobble vinduer fra ca 1900.</t>
        </r>
      </text>
    </comment>
    <comment ref="N21" authorId="0" shapeId="0">
      <text>
        <r>
          <rPr>
            <b/>
            <sz val="8"/>
            <color indexed="81"/>
            <rFont val="Tahoma"/>
            <family val="2"/>
          </rPr>
          <t>Author:</t>
        </r>
        <r>
          <rPr>
            <sz val="8"/>
            <color indexed="81"/>
            <rFont val="Tahoma"/>
            <family val="2"/>
          </rPr>
          <t xml:space="preserve">
Dobble glass.</t>
        </r>
      </text>
    </comment>
    <comment ref="O21" authorId="0" shapeId="0">
      <text>
        <r>
          <rPr>
            <b/>
            <sz val="9"/>
            <color indexed="81"/>
            <rFont val="Tahoma"/>
            <family val="2"/>
          </rPr>
          <t>Author:</t>
        </r>
        <r>
          <rPr>
            <sz val="9"/>
            <color indexed="81"/>
            <rFont val="Tahoma"/>
            <family val="2"/>
          </rPr>
          <t xml:space="preserve">
Vanlig med dobble vinduer fra ca 1900.</t>
        </r>
      </text>
    </comment>
    <comment ref="P21" authorId="0" shapeId="0">
      <text>
        <r>
          <rPr>
            <b/>
            <sz val="9"/>
            <color indexed="81"/>
            <rFont val="Tahoma"/>
            <family val="2"/>
          </rPr>
          <t>Author:</t>
        </r>
        <r>
          <rPr>
            <sz val="9"/>
            <color indexed="81"/>
            <rFont val="Tahoma"/>
            <family val="2"/>
          </rPr>
          <t xml:space="preserve">
Vanlig med dobble vinduer fra ca 1900.</t>
        </r>
      </text>
    </comment>
    <comment ref="C22" authorId="0" shapeId="0">
      <text>
        <r>
          <rPr>
            <b/>
            <sz val="8"/>
            <color indexed="81"/>
            <rFont val="Tahoma"/>
            <family val="2"/>
          </rPr>
          <t>Author:</t>
        </r>
        <r>
          <rPr>
            <sz val="8"/>
            <color indexed="81"/>
            <rFont val="Tahoma"/>
            <family val="2"/>
          </rPr>
          <t xml:space="preserve">
0,06 for boligblokk
0,03 for småhus
</t>
        </r>
      </text>
    </comment>
    <comment ref="D22" authorId="0" shapeId="0">
      <text>
        <r>
          <rPr>
            <b/>
            <sz val="8"/>
            <color indexed="81"/>
            <rFont val="Tahoma"/>
            <family val="2"/>
          </rPr>
          <t>Author:</t>
        </r>
        <r>
          <rPr>
            <sz val="8"/>
            <color indexed="81"/>
            <rFont val="Tahoma"/>
            <family val="2"/>
          </rPr>
          <t xml:space="preserve">
I utgangspunktet skal alle yrkesbygg ha 0,06. Merk at det er benyttet 0,03 for barnehage i SIMIEN-fil fra SINTEF Byggforsk, og det er ifølge bygningsfysiker er det fornuftig fordi det ligner på småhus.
</t>
        </r>
      </text>
    </comment>
    <comment ref="E22" authorId="0" shapeId="0">
      <text>
        <r>
          <rPr>
            <b/>
            <sz val="8"/>
            <color indexed="81"/>
            <rFont val="Tahoma"/>
            <family val="2"/>
          </rPr>
          <t>Author:</t>
        </r>
        <r>
          <rPr>
            <sz val="8"/>
            <color indexed="81"/>
            <rFont val="Tahoma"/>
            <family val="2"/>
          </rPr>
          <t xml:space="preserve">
0,06 for boligblokk
0,03 for småhus
</t>
        </r>
      </text>
    </comment>
    <comment ref="F22" authorId="0" shapeId="0">
      <text>
        <r>
          <rPr>
            <b/>
            <sz val="8"/>
            <color indexed="81"/>
            <rFont val="Tahoma"/>
            <family val="2"/>
          </rPr>
          <t>Author:</t>
        </r>
        <r>
          <rPr>
            <sz val="8"/>
            <color indexed="81"/>
            <rFont val="Tahoma"/>
            <family val="2"/>
          </rPr>
          <t xml:space="preserve">
I utgangspunktet skal alle yrkesbygg ha 0,06. Merk at det er benyttet 0,03 for barnehage i SIMIEN-fil fra SINTEF Byggforsk, og det er ifølge bygningsfysiker er det fornuftig fordi det ligner på småhus.
</t>
        </r>
      </text>
    </comment>
    <comment ref="G22"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 Anbefalt nivå for alle bygningskategorier (bortsett fra småhus) over 2 etasjer i byggeforskrifter av 1987 og 1997: 1,5. Gjelder bla. boligblokk.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H22" authorId="0" shapeId="0">
      <text>
        <r>
          <rPr>
            <b/>
            <sz val="8"/>
            <color indexed="81"/>
            <rFont val="Tahoma"/>
            <family val="2"/>
          </rPr>
          <t>Author:</t>
        </r>
        <r>
          <rPr>
            <sz val="8"/>
            <color indexed="81"/>
            <rFont val="Tahoma"/>
            <family val="2"/>
          </rPr>
          <t xml:space="preserve">
I utgangspunktet skal alle yrkesbygg ha 0,06. Merk at det er benyttet 0,03 for barnehage i SIMIEN-fil fra SINTEF Byggforsk, og det er ifølge bygningsfysiker er det fornuftig fordi det ligner på småhus.
Se kommentar for tek10</t>
        </r>
      </text>
    </comment>
    <comment ref="I22"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J22" authorId="2" shapeId="0">
      <text>
        <r>
          <rPr>
            <b/>
            <sz val="8"/>
            <color indexed="81"/>
            <rFont val="Tahoma"/>
            <family val="2"/>
          </rPr>
          <t>Forfatter:</t>
        </r>
        <r>
          <rPr>
            <sz val="8"/>
            <color indexed="81"/>
            <rFont val="Tahoma"/>
            <family val="2"/>
          </rPr>
          <t xml:space="preserve">
Barnehage og sykehjem: 0,05
Øvrige: 0,12
Benytter standardverdier hentet fra NS3031 tabell A4. Barnehage antas ha bæresystem i tre. Øvrige antas ha bæresystem i betong, mur eller stål og 5 cm kuldebrobryter i fasadene. (10cm kuldebrobryter var ikke vanlig tidligere.) Egentlig er U-verdi krav i datidens TEK gitt  inkl./medregnet kuldebroer, men dette ble i praksis ikke fulgt. 
</t>
        </r>
      </text>
    </comment>
    <comment ref="K22"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L22" authorId="2" shapeId="0">
      <text>
        <r>
          <rPr>
            <b/>
            <sz val="8"/>
            <color indexed="81"/>
            <rFont val="Tahoma"/>
            <family val="2"/>
          </rPr>
          <t>Forfatter:</t>
        </r>
        <r>
          <rPr>
            <sz val="8"/>
            <color indexed="81"/>
            <rFont val="Tahoma"/>
            <family val="2"/>
          </rPr>
          <t xml:space="preserve">
Barnehage og sykehjem: 0,05
Øvrige: 0,12
Benytter standardverdier hentet fra NS3031 tabell A4. Barnehage antas ha bæresystem i tre. Øvrige antas ha bæresystem i betong, mur eller stål og 5 cm kuldebrobryter i fasadene. (10cm kuldebrobryter var ikke vanlig tidligere.) Egentlig er U-verdi krav i datidens TEK gitt  inkl./medregnet kuldebroer, men dette ble i praksis ikke fulgt. 
</t>
        </r>
      </text>
    </comment>
    <comment ref="M22"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N22" authorId="0" shapeId="0">
      <text>
        <r>
          <rPr>
            <b/>
            <sz val="8"/>
            <color indexed="81"/>
            <rFont val="Tahoma"/>
            <family val="2"/>
          </rPr>
          <t>Author:</t>
        </r>
        <r>
          <rPr>
            <sz val="8"/>
            <color indexed="81"/>
            <rFont val="Tahoma"/>
            <family val="2"/>
          </rPr>
          <t xml:space="preserve">
Barnehage og sykehjem: 0,04
Øvrige: 0,08
Siden U-verdiene på konstruksjonen er dårligere (i større grad at hele konstruksjonen i seg selv er en kuldebro) blir normalisert kuldebroverdi mindre. Barnehage antas ha bæresystem i tre. Øvrige antas ha bæresystem i mur/tegl som representativt.  
 </t>
        </r>
      </text>
    </comment>
    <comment ref="O22" authorId="0" shapeId="0">
      <text>
        <r>
          <rPr>
            <b/>
            <sz val="8"/>
            <color indexed="81"/>
            <rFont val="Tahoma"/>
            <family val="2"/>
          </rPr>
          <t>Author:</t>
        </r>
        <r>
          <rPr>
            <sz val="8"/>
            <color indexed="81"/>
            <rFont val="Tahoma"/>
            <family val="2"/>
          </rPr>
          <t xml:space="preserve">
Setter samme verdier som for TEK10: 
Barnehage og sykehjem: 0,03
Øvrige: 0,06
Siden U-verdiene på konstruksjonen er dårligere (i større grad at hele konstruksjonen i seg selv er en kuldebro, og i ennå større grad enn TEK49) blir normalisert kuldebroverdi mindre. Barnehage antas ha bæresystem i tre. Øvrige antas ha bæresystem i mur/tegl som representativt. 
 </t>
        </r>
      </text>
    </comment>
    <comment ref="P22"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C23" authorId="0" shapeId="0">
      <text>
        <r>
          <rPr>
            <b/>
            <sz val="8"/>
            <color indexed="81"/>
            <rFont val="Tahoma"/>
            <family val="2"/>
          </rPr>
          <t>Author:</t>
        </r>
        <r>
          <rPr>
            <sz val="8"/>
            <color indexed="81"/>
            <rFont val="Tahoma"/>
            <family val="2"/>
          </rPr>
          <t xml:space="preserve">
1,5 for boligblokk
2,5 for småhus
</t>
        </r>
      </text>
    </comment>
    <comment ref="E23" authorId="0" shapeId="0">
      <text>
        <r>
          <rPr>
            <b/>
            <sz val="8"/>
            <color indexed="81"/>
            <rFont val="Tahoma"/>
            <family val="2"/>
          </rPr>
          <t>Author:</t>
        </r>
        <r>
          <rPr>
            <sz val="8"/>
            <color indexed="81"/>
            <rFont val="Tahoma"/>
            <family val="2"/>
          </rPr>
          <t xml:space="preserve">
1,5 for boligblokk
2,5 for småhus
</t>
        </r>
      </text>
    </comment>
    <comment ref="H23" authorId="0" shapeId="0">
      <text>
        <r>
          <rPr>
            <b/>
            <sz val="9"/>
            <color indexed="81"/>
            <rFont val="Tahoma"/>
            <family val="2"/>
          </rPr>
          <t>Author:</t>
        </r>
        <r>
          <rPr>
            <sz val="9"/>
            <color indexed="81"/>
            <rFont val="Tahoma"/>
            <family val="2"/>
          </rPr>
          <t xml:space="preserve">
I veiledningen til teknisk forskrift, og også gjengitt i NS3031 tabell B3:
- Anbefalt nivå for alle bygningskategorier (bortsett fra småhus) inntil 2 etasjer i byggeforskrifter av 1987 og 1997: 3,0. For de gitte bygningsmodellene betyr dette Barnehage, Skole, Sykehjem, Hotell, Idrettsbygg, Kulturbygg og Industri/verksted.
- Anbefalt nivå for alle bygningskategorier (bortsett fra småhus) over 2 etasjer i byggeforskrifter av 1987 og 1997: 1,5. For de gitte bygningsmodellene betyr dette (Boligblokk), Kontorbygg, Universitet, Sykehus og Forretningsbygg.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I23"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1987 og 1997: 1,5. Gjelder bla. boligblokk.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J23" authorId="0" shapeId="0">
      <text>
        <r>
          <rPr>
            <b/>
            <sz val="9"/>
            <color indexed="81"/>
            <rFont val="Tahoma"/>
            <family val="2"/>
          </rPr>
          <t>Author:</t>
        </r>
        <r>
          <rPr>
            <sz val="9"/>
            <color indexed="81"/>
            <rFont val="Tahoma"/>
            <family val="2"/>
          </rPr>
          <t xml:space="preserve">
I veiledningen til teknisk forskrift, og også gjengitt i NS3031 tabell B3:
- Anbefalt nivå for alle bygningskategorier (bortsett fra småhus) inntil 2 etasjer i byggeforskrifter av 1987 og 1997: 3,0. For de gitte bygningsmodellene betyr dette Barnehage, Skole, Sykehjem, Hotell, Idrettsbygg, Kulturbygg og Industri/verksted.
- Anbefalt nivå for alle bygningskategorier (bortsett fra småhus) over 2 etasjer i byggeforskrifter av 1987 og 1997: 1,5. For de gitte bygningsmodellene betyr dette (Boligblokk), Kontorbygg, Universitet, Sykehus og Forretningsbygg.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K23"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1985 og 1969: 1,5. Gjelder bla. boligblokk. Men i likhet med yrkesbyggene; øker lekkasjetallet fra 1,5 til 2,5 for alle bygningskategorier over 2 etasjer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NS3031 tabell B3:
- Anbefalt nivå for småhus i byggeforskriften av 1997: 4,0.
- Anbefalt nivå for alle bygningskategorier (bortsett fra småhus) over 2 etasjer i byggeforskrifter av 1985 og 1969: 1,5. Gjelder bla. boligblokk.
Kommentar: Erik Aalgaard mener foreslåtte verdier i NS 3031 er for gode.
Vindusinnsetting: kun dytt og list, ikke fuge. Boligblokk - lette konstruksjoner, betongskiver med bindingsverk mellom. Kontorbygg ofte metallkledninger. 
Bygget etter NBI anvisninger.
Verdier er forslag fra Erik Algaard. </t>
        </r>
      </text>
    </comment>
    <comment ref="L23" authorId="0" shapeId="0">
      <text>
        <r>
          <rPr>
            <b/>
            <sz val="9"/>
            <color indexed="81"/>
            <rFont val="Tahoma"/>
            <family val="2"/>
          </rPr>
          <t>Author:</t>
        </r>
        <r>
          <rPr>
            <sz val="9"/>
            <color indexed="81"/>
            <rFont val="Tahoma"/>
            <family val="2"/>
          </rPr>
          <t xml:space="preserve">
Legger oss på samme nivå som for TEK97 og TEK87 hva gjelder bygningskategorier inntil 2 etasjer, dvs. lekkasjetall 3,0 for barnehage, Skole, Sykehjem, Hotell, Idrettsbygg, Kulturbygg.
Øker lekkasjetallet fra 1,5 til 2,5 for alle bygningskategorier over 2 etasjer: Kontorbygg, Universitet, Sykehus og Forretningsbygg.
</t>
        </r>
      </text>
    </comment>
    <comment ref="M23"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1985 og 1969: 1,5. Gjelder bla. boligblokk. Men i likhet med yrkesbyggene; øker lekkasjetallet fra 1,5 til 2,5 for alle bygningskategorier over 2 etasjer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NS3031 tabell B3:
- Anbefalt nivå for småhus i byggeforskriften av 1997: 4,0.
- Anbefalt nivå for alle bygningskategorier (bortsett fra småhus) over 2 etasjer i byggeforskrifter av 1985 og 1969: 1,5. Gjelder bla. boligblokk.
Kommentar: Erik Aalgaard mener foreslåtte verdier i NS 3031 er for gode.
Vindusinnsetting: kun dytt og list, ikke fuge. Boligblokk - lette konstruksjoner, betongskiver med bindingsverk mellom. Kontorbygg ofte metallkledninger. 
Bygget etter NBI anvisninger.
Verdier er forslag fra Erik Algaard. </t>
        </r>
      </text>
    </comment>
    <comment ref="N23" authorId="0" shapeId="0">
      <text>
        <r>
          <rPr>
            <b/>
            <sz val="9"/>
            <color indexed="81"/>
            <rFont val="Tahoma"/>
            <family val="2"/>
          </rPr>
          <t>Author:</t>
        </r>
        <r>
          <rPr>
            <sz val="9"/>
            <color indexed="81"/>
            <rFont val="Tahoma"/>
            <family val="2"/>
          </rPr>
          <t xml:space="preserve">
Legger oss på samme nivå som for TEK97 og TEK87 hva gjelder bygningskategorier inntil 2 etasjer, dvs. lekkasjetall 3,0 for barnehage, Skole, Sykehjem, Hotell, Idrettsbygg, Kulturbygg og Industri/verksted.
Øker lekkasjetallet fra 1,5 til 2,5 for alle bygningskategorier over 2 etasjer: Kontorbygg, Universitet, Sykehus og Forretningsbygg.
</t>
        </r>
      </text>
    </comment>
    <comment ref="O23" authorId="0" shapeId="0">
      <text>
        <r>
          <rPr>
            <b/>
            <sz val="9"/>
            <color indexed="81"/>
            <rFont val="Tahoma"/>
            <family val="2"/>
          </rPr>
          <t>Author:</t>
        </r>
        <r>
          <rPr>
            <sz val="9"/>
            <color indexed="81"/>
            <rFont val="Tahoma"/>
            <family val="2"/>
          </rPr>
          <t xml:space="preserve">
Legger oss på samme nivå som for TEK97 og TEK87 hva gjelder bygningskategorier inntil 2 etasjer, dvs. lekkasjetall 3,0 for barnehage, Skole, Sykehjem, Hotell, Idrettsbygg, Kulturbygg og Industri/verksted.
Øker lekkasjetallet fra 1,5 til 2,5 for alle bygningskategorier over 2 etasjer: Kontorbygg, Universitet, Sykehus og Forretningsbygg.
</t>
        </r>
      </text>
    </comment>
    <comment ref="P23"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1985 og 1969: 1,5. Gjelder bla. boligblokk. Men i likhet med yrkesbyggene; øker lekkasjetallet fra 1,5 til 2,5 for alle bygningskategorier over 2 etasjer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NS3031 tabell B3:
- Anbefalt nivå for småhus i byggeforskriften av 1997: 4,0.
- Anbefalt nivå for alle bygningskategorier (bortsett fra småhus) over 2 etasjer i byggeforskrifter av 1985 og 1969: 1,5. Gjelder bla. boligblokk.
Kommentar: Erik Aalgaard mener foreslåtte verdier i NS 3031 er for gode.
Vindusinnsetting: kun dytt og list, ikke fuge. Boligblokk - lette konstruksjoner, betongskiver med bindingsverk mellom. Kontorbygg ofte metallkledninger. 
Bygget etter NBI anvisninger.
Verdier er forslag fra Erik Algaard. </t>
        </r>
      </text>
    </comment>
    <comment ref="D24" authorId="0" shapeId="0">
      <text>
        <r>
          <rPr>
            <b/>
            <sz val="8"/>
            <color indexed="81"/>
            <rFont val="Tahoma"/>
            <family val="2"/>
          </rPr>
          <t>Author:</t>
        </r>
        <r>
          <rPr>
            <sz val="8"/>
            <color indexed="81"/>
            <rFont val="Tahoma"/>
            <family val="2"/>
          </rPr>
          <t xml:space="preserve">
Bruker for nyere bygg veiledende luftmengder ihht. NS3031 tabell B1.</t>
        </r>
      </text>
    </comment>
    <comment ref="F24" authorId="0" shapeId="0">
      <text>
        <r>
          <rPr>
            <b/>
            <sz val="8"/>
            <color indexed="81"/>
            <rFont val="Tahoma"/>
            <family val="2"/>
          </rPr>
          <t>Author:</t>
        </r>
        <r>
          <rPr>
            <sz val="8"/>
            <color indexed="81"/>
            <rFont val="Tahoma"/>
            <family val="2"/>
          </rPr>
          <t xml:space="preserve">
Bruker for nyere bygg veiledende luftmengder ihht. NS3031 tabell B1.</t>
        </r>
      </text>
    </comment>
    <comment ref="G24"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H24" authorId="0" shapeId="0">
      <text>
        <r>
          <rPr>
            <b/>
            <sz val="8"/>
            <color indexed="81"/>
            <rFont val="Tahoma"/>
            <family val="2"/>
          </rPr>
          <t>Gunnar Eriksen:</t>
        </r>
        <r>
          <rPr>
            <sz val="8"/>
            <color indexed="81"/>
            <rFont val="Tahoma"/>
            <family val="2"/>
          </rPr>
          <t xml:space="preserve">
Byggeforskrift 1997  inneholder ingen nye krav til luftmengder i fohold til 1987 og Arbeidstilsynets veileder best nr 444 .
Nå er det imidlertid å tolke som preaksepterte løsninger somkan benyttes som minimumsverdier dersom ikke annen løsning dokumenteres at ivaretar forskriftenes intensjon.
A - personbelastning (7 l/s), B- materialer (0,7 - 2,0  l/s) og C- spesielle kilder/prosesser.
Ingen reduksjon ved begrenset brukstid eller avbrudd i oppholdstiden. Ved høyere aktivitet bør A økes.
</t>
        </r>
      </text>
    </comment>
    <comment ref="J24" authorId="0" shapeId="0">
      <text>
        <r>
          <rPr>
            <b/>
            <sz val="8"/>
            <color indexed="81"/>
            <rFont val="Tahoma"/>
            <family val="2"/>
          </rPr>
          <t xml:space="preserve">Gunnar Eriksen:
</t>
        </r>
        <r>
          <rPr>
            <sz val="8"/>
            <color indexed="81"/>
            <rFont val="Tahoma"/>
            <family val="2"/>
          </rPr>
          <t xml:space="preserve">Byggeforskrift </t>
        </r>
        <r>
          <rPr>
            <b/>
            <sz val="8"/>
            <color indexed="81"/>
            <rFont val="Tahoma"/>
            <family val="2"/>
          </rPr>
          <t>1985</t>
        </r>
        <r>
          <rPr>
            <sz val="8"/>
            <color indexed="81"/>
            <rFont val="Tahoma"/>
            <family val="2"/>
          </rPr>
          <t xml:space="preserve"> var en forberedelse til 1987, men inneholdt ingen nye krav til luftmengder i fohold til </t>
        </r>
        <r>
          <rPr>
            <b/>
            <sz val="8"/>
            <color indexed="81"/>
            <rFont val="Tahoma"/>
            <family val="2"/>
          </rPr>
          <t>1969</t>
        </r>
        <r>
          <rPr>
            <sz val="8"/>
            <color indexed="81"/>
            <rFont val="Tahoma"/>
            <family val="2"/>
          </rPr>
          <t xml:space="preserve">.
</t>
        </r>
        <r>
          <rPr>
            <b/>
            <sz val="8"/>
            <color indexed="81"/>
            <rFont val="Tahoma"/>
            <family val="2"/>
          </rPr>
          <t xml:space="preserve">TEK 87: 
</t>
        </r>
        <r>
          <rPr>
            <sz val="8"/>
            <color indexed="81"/>
            <rFont val="Tahoma"/>
            <family val="2"/>
          </rPr>
          <t xml:space="preserve">Her kommer luftmengdekrav omtrent tilsvarende de vi bruker i dag. I </t>
        </r>
        <r>
          <rPr>
            <u/>
            <sz val="8"/>
            <color indexed="81"/>
            <rFont val="Tahoma"/>
            <family val="2"/>
          </rPr>
          <t>veilederen</t>
        </r>
        <r>
          <rPr>
            <sz val="8"/>
            <color indexed="81"/>
            <rFont val="Tahoma"/>
            <family val="2"/>
          </rPr>
          <t xml:space="preserve"> til byggeforskriftene står angitt 1- personbelastning (7 l/s), 2- materialer (0,7 l/s) og 3- spesielle kilder/prosesser.
Det står at 1- kan reduseres ti 4,5 l/s i rom med begrenset brukstid.
Det står også at tallet kan reduseres i rom med mye avbrudd i oppholdstiden, f.eks skoler og barnehager (det gjør vi ikke i dag).
Alt dette er en veiledning og ikke et krav
</t>
        </r>
        <r>
          <rPr>
            <b/>
            <sz val="8"/>
            <color indexed="81"/>
            <rFont val="Tahoma"/>
            <family val="2"/>
          </rPr>
          <t>Arbeidstilsynets veileder best nr 444</t>
        </r>
        <r>
          <rPr>
            <sz val="8"/>
            <color indexed="81"/>
            <rFont val="Tahoma"/>
            <family val="2"/>
          </rPr>
          <t xml:space="preserve">
Gis ut i 1991 og veiledningen fra 1987 blir da i prinsippet et krav. Noe skjerpet i forhold til veileder fra 1987. Viktigt her er at ledd 2 i praksis økes til 1,7 l/s.
</t>
        </r>
      </text>
    </comment>
    <comment ref="L24" authorId="0" shapeId="0">
      <text>
        <r>
          <rPr>
            <b/>
            <sz val="8"/>
            <color indexed="81"/>
            <rFont val="Tahoma"/>
            <family val="2"/>
          </rPr>
          <t>Gunnar Eriksen :</t>
        </r>
        <r>
          <rPr>
            <sz val="8"/>
            <color indexed="81"/>
            <rFont val="Tahoma"/>
            <family val="2"/>
          </rPr>
          <t xml:space="preserve"> 
I TEK 69 er luftmengdekravene definert som en fast verdi pr m2 for kontorer.
Verdiene er 
5 m3/h/m2 for kontorer, 
10 m3/h/m2 for forsamlingslokaler (møterom) 
kjerneområder og kontorer har ikke spesifisert krav (venterom  3 m3/h/m2)
Basert på dette antar vi at en gjennomsnittsverdi er 5 m3/h/m2 for kontorbygg.</t>
        </r>
        <r>
          <rPr>
            <b/>
            <sz val="8"/>
            <color indexed="81"/>
            <rFont val="Tahoma"/>
            <family val="2"/>
          </rPr>
          <t xml:space="preserve">
</t>
        </r>
        <r>
          <rPr>
            <sz val="8"/>
            <color indexed="81"/>
            <rFont val="Tahoma"/>
            <family val="2"/>
          </rPr>
          <t xml:space="preserve">
Krav i byggeforskrift av 1969. Ikke alle kategorier er angitt i 1969, så vi vurderer nåværendekategori der det ikke er angitt kategorier i 1969
</t>
        </r>
        <r>
          <rPr>
            <b/>
            <sz val="8"/>
            <color indexed="81"/>
            <rFont val="Tahoma"/>
            <family val="2"/>
          </rPr>
          <t>Trond Ivar Bøhn:</t>
        </r>
        <r>
          <rPr>
            <sz val="8"/>
            <color indexed="81"/>
            <rFont val="Tahoma"/>
            <family val="2"/>
          </rPr>
          <t xml:space="preserve">
Setter luftmengde utenfor driftstid lik minimumsluftmengden iht. NS3031 tabell A6 som stemmer bra ift. kravet for kontorbygg, og antar dette også for øvrige bygningskategorier. 
Luftmengden utenfor driftstid trenger ikke bety kontinuerlig drift med denne luftmengden, men kan være oppstart av ventilasjonen tidligere og stans senere enn den standardiserte driftstiden.</t>
        </r>
      </text>
    </comment>
    <comment ref="N24" authorId="0" shapeId="0">
      <text>
        <r>
          <rPr>
            <b/>
            <sz val="8"/>
            <color indexed="81"/>
            <rFont val="Tahoma"/>
            <family val="2"/>
          </rPr>
          <t>Gunnar Eriksen:</t>
        </r>
        <r>
          <rPr>
            <sz val="8"/>
            <color indexed="81"/>
            <rFont val="Tahoma"/>
            <family val="2"/>
          </rPr>
          <t xml:space="preserve">
Byggeforskriften har INGEN krav til avtrekk og friskluftsmengde. Kun krav til hvordan ventilasjonspiper og -kanaler skal være utformet.
Vanlig med naturlige ventilasjonsanlegg.
Antar 2-3 m3/h pr m2 vil være representativt.
Tidlige svenske normer beskrev relativt høye luftmengder, også i dagens målestokk. Ref "VVS Handboken" fra 1963.
Her kan man kanskje konsuldere ennå eldre medarbeidere som har "opplevd" denne perioden.</t>
        </r>
      </text>
    </comment>
    <comment ref="O24" authorId="0" shapeId="0">
      <text>
        <r>
          <rPr>
            <b/>
            <sz val="8"/>
            <color indexed="81"/>
            <rFont val="Tahoma"/>
            <family val="2"/>
          </rPr>
          <t>Gunnar Eriksen:</t>
        </r>
        <r>
          <rPr>
            <sz val="8"/>
            <color indexed="81"/>
            <rFont val="Tahoma"/>
            <family val="2"/>
          </rPr>
          <t xml:space="preserve">
Vanlig med naturlige ventilasjonsanlegg.
Antar 2-3 m3/h pr m2 vil være representativt.
</t>
        </r>
      </text>
    </comment>
    <comment ref="D25" authorId="0" shapeId="0">
      <text>
        <r>
          <rPr>
            <b/>
            <sz val="9"/>
            <color indexed="81"/>
            <rFont val="Tahoma"/>
            <family val="2"/>
          </rPr>
          <t>Author:</t>
        </r>
        <r>
          <rPr>
            <sz val="9"/>
            <color indexed="81"/>
            <rFont val="Tahoma"/>
            <family val="2"/>
          </rPr>
          <t xml:space="preserve">
Kravet er redusert til 70 % for arealer der varmegjenvinning medfører risiko for spredning av forurensning/smitte. </t>
        </r>
        <r>
          <rPr>
            <u/>
            <sz val="9"/>
            <color indexed="81"/>
            <rFont val="Tahoma"/>
            <family val="2"/>
          </rPr>
          <t>Kan</t>
        </r>
        <r>
          <rPr>
            <sz val="9"/>
            <color indexed="81"/>
            <rFont val="Tahoma"/>
            <family val="2"/>
          </rPr>
          <t xml:space="preserve"> gjelde sykehus, sykehjem og industri/verksted.
</t>
        </r>
      </text>
    </comment>
    <comment ref="H25" authorId="0" shapeId="0">
      <text>
        <r>
          <rPr>
            <b/>
            <sz val="8"/>
            <color indexed="81"/>
            <rFont val="Tahoma"/>
            <family val="2"/>
          </rPr>
          <t>Author:</t>
        </r>
        <r>
          <rPr>
            <sz val="8"/>
            <color indexed="81"/>
            <rFont val="Tahoma"/>
            <family val="2"/>
          </rPr>
          <t xml:space="preserve">
Antar overvekt av roterende vgj 70% men med innslag av plategjenvinner og batterigjenvinnere. Snitt ca 65%
</t>
        </r>
        <r>
          <rPr>
            <b/>
            <sz val="8"/>
            <color indexed="81"/>
            <rFont val="Tahoma"/>
            <family val="2"/>
          </rPr>
          <t>Gunnar Eriksen:</t>
        </r>
        <r>
          <rPr>
            <sz val="8"/>
            <color indexed="81"/>
            <rFont val="Tahoma"/>
            <family val="2"/>
          </rPr>
          <t xml:space="preserve">
OK</t>
        </r>
      </text>
    </comment>
    <comment ref="I25"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J25" authorId="0" shapeId="0">
      <text>
        <r>
          <rPr>
            <b/>
            <sz val="8"/>
            <color indexed="81"/>
            <rFont val="Tahoma"/>
            <family val="2"/>
          </rPr>
          <t>Gunnar Eriksen</t>
        </r>
        <r>
          <rPr>
            <sz val="8"/>
            <color indexed="81"/>
            <rFont val="Tahoma"/>
            <family val="2"/>
          </rPr>
          <t xml:space="preserve">
Ingen konkrete krav til gjenvinningsgrad ut over at det skal "vurderes" og "gjøres så effekt- og energiøkonomisk som mulig"
Det er fortsatt ikke krav om varmegjenvinner i ventilasjonsaggregater med de aller fleste installerte likevel fordi det var direkte lønnsomt. Vi antar at det er en blanding av roterende varmegjenvinnere med virkningsgrad 0,75, platevekslere med virkningsgrad 0,6 og batterivekslere med virkningsgrad 0,5
Basert på dette antar vi at en gjennomsnitts varmegjenvinning på 0,6 for kontorbygg.
</t>
        </r>
        <r>
          <rPr>
            <b/>
            <sz val="8"/>
            <color indexed="81"/>
            <rFont val="Tahoma"/>
            <family val="2"/>
          </rPr>
          <t>Trond Ivar Bøhn</t>
        </r>
        <r>
          <rPr>
            <sz val="8"/>
            <color indexed="81"/>
            <rFont val="Tahoma"/>
            <family val="2"/>
          </rPr>
          <t xml:space="preserve">
Må kunne forutsette at eldre bygg etter teknisk levetid skifter ut sitt ventilasjonsanlegg. Vanlig for 69-bygg med en rehab/oppgradering på 80-90-tallet.</t>
        </r>
      </text>
    </comment>
    <comment ref="K25"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L25" authorId="0" shapeId="0">
      <text>
        <r>
          <rPr>
            <b/>
            <sz val="8"/>
            <color indexed="81"/>
            <rFont val="Tahoma"/>
            <family val="2"/>
          </rPr>
          <t>Gunnar Eriksen:</t>
        </r>
        <r>
          <rPr>
            <sz val="8"/>
            <color indexed="81"/>
            <rFont val="Tahoma"/>
            <family val="2"/>
          </rPr>
          <t xml:space="preserve">
Det er ingen krav til varmegjenvinning på ventilasjon. Vanlig med mekanisk avtrekk og friskluft ubehandlet inn via spalter i forbindelse med panelovn eller radiator.
Slike anlegg har 0% gjenvinning
</t>
        </r>
      </text>
    </comment>
    <comment ref="M25"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N25" authorId="0" shapeId="0">
      <text>
        <r>
          <rPr>
            <b/>
            <sz val="8"/>
            <color indexed="81"/>
            <rFont val="Tahoma"/>
            <family val="2"/>
          </rPr>
          <t>Gunnar Eriksen:</t>
        </r>
        <r>
          <rPr>
            <sz val="8"/>
            <color indexed="81"/>
            <rFont val="Tahoma"/>
            <family val="2"/>
          </rPr>
          <t xml:space="preserve">
Det er INGEN krav til varmegjenvinning på ventilasjon. Vanlig med mekanisk avtrekk og friskluft ubehandlet inn via spalter i forbindelse med panelovn eller radiator.
Slike anlegg har 0% gjenvinning</t>
        </r>
      </text>
    </comment>
    <comment ref="O25" authorId="0" shapeId="0">
      <text>
        <r>
          <rPr>
            <b/>
            <sz val="8"/>
            <color indexed="81"/>
            <rFont val="Tahoma"/>
            <family val="2"/>
          </rPr>
          <t xml:space="preserve">Gunnar Eriksen:
</t>
        </r>
        <r>
          <rPr>
            <sz val="8"/>
            <color indexed="81"/>
            <rFont val="Tahoma"/>
            <family val="2"/>
          </rPr>
          <t>Ingen dokumentasjon på hvordan kravene var. antar de var omtrent som TEK 49 hva gjelder ventilasjon. Dvs ingen krav til gjenvinning.</t>
        </r>
      </text>
    </comment>
    <comment ref="P25"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C26"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 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Kravet er nå ytterligere spisset og gjennomsnittet nermer seg vel -10.</t>
        </r>
      </text>
    </comment>
    <comment ref="D26"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 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Kravet er nå ytterligere spisset og gjennomsnittet nermer seg vel -10.</t>
        </r>
      </text>
    </comment>
    <comment ref="E26"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Andelen roterende øker og tallet settes til f.eks -6.</t>
        </r>
      </text>
    </comment>
    <comment ref="F26"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Andelen roterende øker og tallet settes til f.eks -6.</t>
        </r>
      </text>
    </comment>
    <comment ref="H26" authorId="0" shapeId="0">
      <text>
        <r>
          <rPr>
            <b/>
            <sz val="8"/>
            <color indexed="81"/>
            <rFont val="Tahoma"/>
            <family val="2"/>
          </rPr>
          <t>Author:</t>
        </r>
        <r>
          <rPr>
            <sz val="8"/>
            <color indexed="81"/>
            <rFont val="Tahoma"/>
            <family val="2"/>
          </rPr>
          <t xml:space="preserve">
Ihht. NS3031 tabell H1 for regenerativ vgj
</t>
        </r>
        <r>
          <rPr>
            <b/>
            <sz val="8"/>
            <color indexed="81"/>
            <rFont val="Tahoma"/>
            <family val="2"/>
          </rPr>
          <t>Gunnar Eriksen</t>
        </r>
        <r>
          <rPr>
            <sz val="8"/>
            <color indexed="81"/>
            <rFont val="Tahoma"/>
            <family val="2"/>
          </rPr>
          <t xml:space="preserve">
Som et snitt av roterende og andre vekslere som florerer rundt i bygningsmassen fra denne tiden, bør kanskje tallet settes til f.eks -2.</t>
        </r>
      </text>
    </comment>
    <comment ref="J26" authorId="0" shapeId="0">
      <text>
        <r>
          <rPr>
            <b/>
            <sz val="8"/>
            <color indexed="81"/>
            <rFont val="Tahoma"/>
            <family val="2"/>
          </rPr>
          <t>Author:</t>
        </r>
        <r>
          <rPr>
            <sz val="8"/>
            <color indexed="81"/>
            <rFont val="Tahoma"/>
            <family val="2"/>
          </rPr>
          <t xml:space="preserve">
Ihht. NS3031 tabell H1 snitt  for regenerativ vgj og rekuparativ vgj
</t>
        </r>
        <r>
          <rPr>
            <b/>
            <sz val="8"/>
            <color indexed="81"/>
            <rFont val="Tahoma"/>
            <family val="2"/>
          </rPr>
          <t>Gunnar Eriksen</t>
        </r>
        <r>
          <rPr>
            <sz val="8"/>
            <color indexed="81"/>
            <rFont val="Tahoma"/>
            <family val="2"/>
          </rPr>
          <t xml:space="preserve">
Som et snitt av roterende og andre vekslere som florerer rundt i bygningsmassen fra denne tiden, bør kanskje tallet settes til f.eks -2.</t>
        </r>
      </text>
    </comment>
    <comment ref="G27" authorId="0" shapeId="0">
      <text>
        <r>
          <rPr>
            <b/>
            <sz val="8"/>
            <color indexed="81"/>
            <rFont val="Tahoma"/>
            <family val="2"/>
          </rPr>
          <t>Author:</t>
        </r>
        <r>
          <rPr>
            <sz val="8"/>
            <color indexed="81"/>
            <rFont val="Tahoma"/>
            <family val="2"/>
          </rPr>
          <t xml:space="preserve">
Må kunne forutsette at også eldre bygg har natt- og helgesenkning</t>
        </r>
      </text>
    </comment>
    <comment ref="H27" authorId="0" shapeId="0">
      <text>
        <r>
          <rPr>
            <b/>
            <sz val="8"/>
            <color indexed="81"/>
            <rFont val="Tahoma"/>
            <family val="2"/>
          </rPr>
          <t>Trond Ivar Bøhn:</t>
        </r>
        <r>
          <rPr>
            <sz val="8"/>
            <color indexed="81"/>
            <rFont val="Tahoma"/>
            <family val="2"/>
          </rPr>
          <t xml:space="preserve">
Ref. byggforsk, byggdetaljer 552.335: 
SFP &lt; 2,5 ved nyinstallasjoner i eksisterende bygninger.
SFP &lt; 4,0 ved nyinstallasjoner i eksisterende bygninger med spesielt trange tekniske rom og vanskelige rørføringe.
Som representativ tilstand velges SFP på 3,0.
Ved utskifting av aggregat antas at man i sitt kommer ned på 2,5. At man ikke kommer ned på 2,0 skyldes at eksisterende kanalnett beholdes, med de begrensninger og ikke-optimale løsninger dette gir.</t>
        </r>
      </text>
    </comment>
    <comment ref="J27" authorId="0" shapeId="0">
      <text>
        <r>
          <rPr>
            <b/>
            <sz val="8"/>
            <color indexed="81"/>
            <rFont val="Tahoma"/>
            <family val="2"/>
          </rPr>
          <t>Gunnar Eriksen:</t>
        </r>
        <r>
          <rPr>
            <sz val="8"/>
            <color indexed="81"/>
            <rFont val="Tahoma"/>
            <family val="2"/>
          </rPr>
          <t xml:space="preserve">
Mange tenkte energisparing da også, men man hadde ikke de samme måltallene som nå. Det var lettere å akseptere et aggregat som var mer presset i størrelse mtp innkjøpspris. Trykktap ifm innregulering og mindre virkningsgrad på viftene spilte nok også inn. Selve kanalanlegget var nok stort sett som nå. Men kunden var også den gang interessert i at driftskostnadene skulle være lave.
</t>
        </r>
        <r>
          <rPr>
            <b/>
            <sz val="8"/>
            <color indexed="81"/>
            <rFont val="Tahoma"/>
            <family val="2"/>
          </rPr>
          <t>Trond Ivar Bøhn:</t>
        </r>
        <r>
          <rPr>
            <sz val="8"/>
            <color indexed="81"/>
            <rFont val="Tahoma"/>
            <family val="2"/>
          </rPr>
          <t xml:space="preserve">
Ref. byggforsk, byggdetaljer 552.335: 
SFP &lt; 2,5 ved nyinstallasjoner i eksisterende bygninger.
SFP &lt; 4,0 ved nyinstallasjoner i eksisterende bygninger med spesielt trange tekniske rom og vanskelige rørføringe.
Som representativ tilstand velges SFP på 4.
Ved utskifting av aggregat antas at man i sitt kommer ned på 3,0 (dvs. velger en "gylden middelvei" mellom 2,5 og 4)
At man ikke kommer ned på 2,0 skyldes at eksisterende kanalnett beholdes, med de begrensninger og ikke-optimale løsninger dette gir.</t>
        </r>
      </text>
    </comment>
    <comment ref="L27" authorId="0" shapeId="0">
      <text>
        <r>
          <rPr>
            <b/>
            <sz val="8"/>
            <color indexed="81"/>
            <rFont val="Tahoma"/>
            <family val="2"/>
          </rPr>
          <t>Author:</t>
        </r>
        <r>
          <rPr>
            <sz val="8"/>
            <color indexed="81"/>
            <rFont val="Tahoma"/>
            <family val="2"/>
          </rPr>
          <t xml:space="preserve">
Et typisk «aggregat» som tilfredsstiller TEK 69 besto egentlig bare av en avtrekksvifte og et relativt enkelt avtrekks kanalsystem. Tilluftsdelen besto av da bare av en spalt under vinduet slik at uteluften ble varmet opp av panelovn eller radiator. SFP verdien må derfor vurderes ut fra at kanalanlegg og aggregatmotstand bare er halvparten av et moderne anlegg, og at viften naturligvis er mindre effektive. 
Basert på dette kan en anta at SFP faktoren er 2,0. </t>
        </r>
      </text>
    </comment>
    <comment ref="H28" authorId="0" shapeId="0">
      <text>
        <r>
          <rPr>
            <b/>
            <sz val="8"/>
            <color indexed="81"/>
            <rFont val="Tahoma"/>
            <family val="2"/>
          </rPr>
          <t>Gunnar Eriksen:</t>
        </r>
        <r>
          <rPr>
            <sz val="8"/>
            <color indexed="81"/>
            <rFont val="Tahoma"/>
            <family val="2"/>
          </rPr>
          <t xml:space="preserve">
Jeg vil tro at en del bygg i denne perioden har nattesenkning. </t>
        </r>
      </text>
    </comment>
    <comment ref="I28" authorId="0" shapeId="0">
      <text>
        <r>
          <rPr>
            <b/>
            <sz val="8"/>
            <color indexed="81"/>
            <rFont val="Tahoma"/>
            <family val="2"/>
          </rPr>
          <t>Author:</t>
        </r>
        <r>
          <rPr>
            <sz val="8"/>
            <color indexed="81"/>
            <rFont val="Tahoma"/>
            <family val="2"/>
          </rPr>
          <t xml:space="preserve">
Må kunne forutsette at også eldre bygg har natt- og helgesenkning</t>
        </r>
      </text>
    </comment>
    <comment ref="J28" authorId="0" shapeId="0">
      <text>
        <r>
          <rPr>
            <b/>
            <sz val="8"/>
            <color indexed="81"/>
            <rFont val="Tahoma"/>
            <family val="2"/>
          </rPr>
          <t>Gunnar Eriksen:</t>
        </r>
        <r>
          <rPr>
            <sz val="8"/>
            <color indexed="81"/>
            <rFont val="Tahoma"/>
            <family val="2"/>
          </rPr>
          <t xml:space="preserve">
Jeg vil tro at en del bygg i denne perioden har nattesenkning.</t>
        </r>
      </text>
    </comment>
    <comment ref="K2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L2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M2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N2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O2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P2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D29" authorId="0" shapeId="0">
      <text>
        <r>
          <rPr>
            <b/>
            <sz val="9"/>
            <color indexed="81"/>
            <rFont val="Tahoma"/>
            <family val="2"/>
          </rPr>
          <t>Author:</t>
        </r>
        <r>
          <rPr>
            <sz val="9"/>
            <color indexed="81"/>
            <rFont val="Tahoma"/>
            <family val="2"/>
          </rPr>
          <t xml:space="preserve">
Tiltak som eliminerer bygningens behov for lokal kjøling.</t>
        </r>
      </text>
    </comment>
    <comment ref="F29" authorId="0" shapeId="0">
      <text>
        <r>
          <rPr>
            <b/>
            <sz val="8"/>
            <color indexed="81"/>
            <rFont val="Tahoma"/>
            <family val="2"/>
          </rPr>
          <t>Author:</t>
        </r>
        <r>
          <rPr>
            <sz val="8"/>
            <color indexed="81"/>
            <rFont val="Tahoma"/>
            <family val="2"/>
          </rPr>
          <t xml:space="preserve">
Automatisk utvendig solavskjermingsutstyr eller andre tiltak for å oppfylle krav til termisk komfort uten bruk av lokalkjøling
</t>
        </r>
      </text>
    </comment>
    <comment ref="L29" authorId="0" shapeId="0">
      <text>
        <r>
          <rPr>
            <b/>
            <sz val="8"/>
            <color indexed="81"/>
            <rFont val="Tahoma"/>
            <family val="2"/>
          </rPr>
          <t>Author:</t>
        </r>
        <r>
          <rPr>
            <sz val="8"/>
            <color indexed="81"/>
            <rFont val="Tahoma"/>
            <family val="2"/>
          </rPr>
          <t xml:space="preserve">
Men:
Må kunne forutsette at også eldre bygg med kjølebehov har solavskjerming. PS: Installasjon av automatisk utvendig solavskjerming på bygg som ikke har dette fra før er ikke ensbetydende med reduksjon i energiforbruket, fordi man mister varmetiskudd i vinterhalvåret. Simuleringer i SIMIEN takler i det hele tatt dette dårlig.</t>
        </r>
      </text>
    </comment>
    <comment ref="N29" authorId="0" shapeId="0">
      <text>
        <r>
          <rPr>
            <b/>
            <sz val="8"/>
            <color indexed="81"/>
            <rFont val="Tahoma"/>
            <family val="2"/>
          </rPr>
          <t>Author:</t>
        </r>
        <r>
          <rPr>
            <sz val="8"/>
            <color indexed="81"/>
            <rFont val="Tahoma"/>
            <family val="2"/>
          </rPr>
          <t xml:space="preserve">
Men:
Må kunne forutsette at også eldre bygg med kjølebehov har solavskjerming. PS: Installasjon av automatisk utvendig solavskjerming på bygg som ikke har dette fra før er ikke ensbetydende med reduksjon i energiforbruket, fordi man mister varmetiskudd i vinterhalvåret. Simuleringer i SIMIEN takler i det hele tatt dette dårlig.</t>
        </r>
      </text>
    </comment>
    <comment ref="O29" authorId="0" shapeId="0">
      <text>
        <r>
          <rPr>
            <b/>
            <sz val="8"/>
            <color indexed="81"/>
            <rFont val="Tahoma"/>
            <family val="2"/>
          </rPr>
          <t>Author:</t>
        </r>
        <r>
          <rPr>
            <sz val="8"/>
            <color indexed="81"/>
            <rFont val="Tahoma"/>
            <family val="2"/>
          </rPr>
          <t xml:space="preserve">
Men:
Må kunne forutsette at også eldre bygg med kjølebehov har solavskjerming. PS: Installasjon av automatisk utvendig solavskjerming på bygg som ikke har dette fra før er ikke ensbetydende med reduksjon i energiforbruket, fordi man mister varmetiskudd i vinterhalvåret. Simuleringer i SIMIEN takler i det hele tatt dette dårlig.</t>
        </r>
      </text>
    </comment>
    <comment ref="D31" authorId="0" shapeId="0">
      <text>
        <r>
          <rPr>
            <b/>
            <sz val="8"/>
            <color indexed="81"/>
            <rFont val="Tahoma"/>
            <family val="2"/>
          </rPr>
          <t>Author:</t>
        </r>
        <r>
          <rPr>
            <sz val="8"/>
            <color indexed="81"/>
            <rFont val="Tahoma"/>
            <family val="2"/>
          </rPr>
          <t xml:space="preserve">
Bruker for nyere bygg standardverdi iht. NS3031 tabell A1. For TEK10 reduserer vi denne til 80% grunnet tiltak lysstyring.</t>
        </r>
      </text>
    </comment>
    <comment ref="F31" authorId="0" shapeId="0">
      <text>
        <r>
          <rPr>
            <b/>
            <sz val="8"/>
            <color indexed="81"/>
            <rFont val="Tahoma"/>
            <family val="2"/>
          </rPr>
          <t>Author:</t>
        </r>
        <r>
          <rPr>
            <sz val="8"/>
            <color indexed="81"/>
            <rFont val="Tahoma"/>
            <family val="2"/>
          </rPr>
          <t xml:space="preserve">
Bruker for nyere bygg standardverdi iht. NS3031 tabell A1</t>
        </r>
      </text>
    </comment>
    <comment ref="H31" authorId="0" shapeId="0">
      <text>
        <r>
          <rPr>
            <b/>
            <sz val="8"/>
            <color indexed="81"/>
            <rFont val="Tahoma"/>
            <family val="2"/>
          </rPr>
          <t>Author:</t>
        </r>
        <r>
          <rPr>
            <sz val="8"/>
            <color indexed="81"/>
            <rFont val="Tahoma"/>
            <family val="2"/>
          </rPr>
          <t xml:space="preserve">
Bruker for nyere bygg standardverdi iht. NS3031 tabell A1</t>
        </r>
      </text>
    </comment>
    <comment ref="J31" authorId="0" shapeId="0">
      <text>
        <r>
          <rPr>
            <b/>
            <sz val="8"/>
            <color indexed="81"/>
            <rFont val="Tahoma"/>
            <family val="2"/>
          </rPr>
          <t>Author:</t>
        </r>
        <r>
          <rPr>
            <sz val="8"/>
            <color indexed="81"/>
            <rFont val="Tahoma"/>
            <family val="2"/>
          </rPr>
          <t xml:space="preserve">
Bruker for middels gamle og eldre bygg standardverdi iht. NS3031 tabell A1 ganget med 15/8-deler. Dette tilsvarer forholdet mellom eldre belysning typisk T8 lysrørsarmaturer med mekanisk forkobling kontra nyere belysning typisk T5 lysrørsarmaturer med elektronisk forkobling. Referanse: Sintef Byggforsk Prosjektrapport 51, belysning for kontorbygg, side 7.</t>
        </r>
      </text>
    </comment>
    <comment ref="L31" authorId="0" shapeId="0">
      <text>
        <r>
          <rPr>
            <b/>
            <sz val="8"/>
            <color indexed="81"/>
            <rFont val="Tahoma"/>
            <family val="2"/>
          </rPr>
          <t>Author:</t>
        </r>
        <r>
          <rPr>
            <sz val="8"/>
            <color indexed="81"/>
            <rFont val="Tahoma"/>
            <family val="2"/>
          </rPr>
          <t xml:space="preserve">
Bruker for middels gamle og eldre bygg standardverdi iht. NS3031 tabell A1 ganget med 15/8-deler. Dette tilsvarer forholdet mellom eldre belysning typisk T8 lysrørsarmaturer med mekanisk forkobling kontra nyere belysning typisk T5 lysrørsarmaturer med elektronisk forkobling. Referanse: Sintef Byggforsk Prosjektrapport 51, belysning for kontorbygg, side 7.</t>
        </r>
      </text>
    </comment>
    <comment ref="N31" authorId="0" shapeId="0">
      <text>
        <r>
          <rPr>
            <b/>
            <sz val="8"/>
            <color indexed="81"/>
            <rFont val="Tahoma"/>
            <family val="2"/>
          </rPr>
          <t>Author:</t>
        </r>
        <r>
          <rPr>
            <sz val="8"/>
            <color indexed="81"/>
            <rFont val="Tahoma"/>
            <family val="2"/>
          </rPr>
          <t xml:space="preserve">
Bruker for middels gamle og eldre bygg standardverdi iht. NS3031 tabell A1 ganget med 15/8-deler. Dette tilsvarer forholdet mellom eldre belysning typisk T8 lysrørsarmaturer med mekanisk forkobling kontra nyere belysning typisk T5 lysrørsarmaturer med elektronisk forkobling. Referanse: Sintef Byggforsk Prosjektrapport 51, belysning for kontorbygg, side 7.</t>
        </r>
      </text>
    </comment>
    <comment ref="O31" authorId="0" shapeId="0">
      <text>
        <r>
          <rPr>
            <b/>
            <sz val="8"/>
            <color indexed="81"/>
            <rFont val="Tahoma"/>
            <family val="2"/>
          </rPr>
          <t>Author:</t>
        </r>
        <r>
          <rPr>
            <sz val="8"/>
            <color indexed="81"/>
            <rFont val="Tahoma"/>
            <family val="2"/>
          </rPr>
          <t xml:space="preserve">
Bruker for middels gamle og eldre bygg standardverdi iht. NS3031 tabell A1 ganget med 15/8-deler. Dette tilsvarer forholdet mellom eldre belysning typisk T8 lysrørsarmaturer med mekanisk forkobling kontra nyere belysning typisk T5 lysrørsarmaturer med elektronisk forkobling. Referanse: Sintef Byggforsk Prosjektrapport 51, belysning for kontorbygg, side 7.</t>
        </r>
      </text>
    </comment>
    <comment ref="D35" authorId="0" shapeId="0">
      <text>
        <r>
          <rPr>
            <b/>
            <sz val="8"/>
            <color indexed="81"/>
            <rFont val="Tahoma"/>
            <family val="2"/>
          </rPr>
          <t>Author:</t>
        </r>
        <r>
          <rPr>
            <sz val="8"/>
            <color indexed="81"/>
            <rFont val="Tahoma"/>
            <family val="2"/>
          </rPr>
          <t xml:space="preserve">
Barnehage 0,35 som for bolig</t>
        </r>
      </text>
    </comment>
    <comment ref="F35" authorId="0" shapeId="0">
      <text>
        <r>
          <rPr>
            <b/>
            <sz val="8"/>
            <color indexed="81"/>
            <rFont val="Tahoma"/>
            <family val="2"/>
          </rPr>
          <t>Author:</t>
        </r>
        <r>
          <rPr>
            <sz val="8"/>
            <color indexed="81"/>
            <rFont val="Tahoma"/>
            <family val="2"/>
          </rPr>
          <t xml:space="preserve">
Barnehage 0,35 som for bolig</t>
        </r>
      </text>
    </comment>
    <comment ref="D36" authorId="0" shapeId="0">
      <text>
        <r>
          <rPr>
            <b/>
            <sz val="8"/>
            <color indexed="81"/>
            <rFont val="Tahoma"/>
            <family val="2"/>
          </rPr>
          <t>Author:</t>
        </r>
        <r>
          <rPr>
            <sz val="8"/>
            <color indexed="81"/>
            <rFont val="Tahoma"/>
            <family val="2"/>
          </rPr>
          <t xml:space="preserve">
barnehage som for bolig, dvs. ikke bevegelig solskjerming</t>
        </r>
      </text>
    </comment>
    <comment ref="F36" authorId="0" shapeId="0">
      <text>
        <r>
          <rPr>
            <b/>
            <sz val="8"/>
            <color indexed="81"/>
            <rFont val="Tahoma"/>
            <family val="2"/>
          </rPr>
          <t>Author:</t>
        </r>
        <r>
          <rPr>
            <sz val="8"/>
            <color indexed="81"/>
            <rFont val="Tahoma"/>
            <family val="2"/>
          </rPr>
          <t xml:space="preserve">
barnehage som for bolig, dvs. ikke bevegelig solskjerming</t>
        </r>
      </text>
    </comment>
    <comment ref="H36"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J36"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L36"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N36"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O36"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C43"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F43"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C44" authorId="1" shapeId="0">
      <text>
        <r>
          <rPr>
            <b/>
            <sz val="9"/>
            <color indexed="81"/>
            <rFont val="Tahoma"/>
            <family val="2"/>
          </rPr>
          <t>Trond Ivar Bøhn:</t>
        </r>
        <r>
          <rPr>
            <sz val="9"/>
            <color indexed="81"/>
            <rFont val="Tahoma"/>
            <family val="2"/>
          </rPr>
          <t xml:space="preserve">
Krav 0,18.
Småhus: 36x98 utforing,36x148 stender, 250mm min. ull, U-verdi 0,17. Referanse 471.012
Boligblokk: Bindingsverk i tre, 200mm min. ull,100mm kuldebrobryter, U-verdi 0,22. Referanse 471.015</t>
        </r>
      </text>
    </comment>
    <comment ref="C45" authorId="1" shapeId="0">
      <text>
        <r>
          <rPr>
            <b/>
            <sz val="9"/>
            <color indexed="81"/>
            <rFont val="Tahoma"/>
            <family val="2"/>
          </rPr>
          <t>Trond Ivar Bøhn:</t>
        </r>
        <r>
          <rPr>
            <sz val="9"/>
            <color indexed="81"/>
            <rFont val="Tahoma"/>
            <family val="2"/>
          </rPr>
          <t xml:space="preserve">
Krav 0,15.
Småhus: Fundament gulv. 250mm markplate, 100mm armert betong, U-verdi 0,15. Referanse 521.112.
Boligblokk: Gulv mor uoppvarmet kjeller. 250mm markplate, 100mm armert betong, U-verdi 0,15. Referanse 521.112.</t>
        </r>
      </text>
    </comment>
    <comment ref="C46" authorId="1" shapeId="0">
      <text>
        <r>
          <rPr>
            <b/>
            <sz val="9"/>
            <color indexed="81"/>
            <rFont val="Tahoma"/>
            <family val="2"/>
          </rPr>
          <t>Trond Ivar Bøhn:</t>
        </r>
        <r>
          <rPr>
            <sz val="9"/>
            <color indexed="81"/>
            <rFont val="Tahoma"/>
            <family val="2"/>
          </rPr>
          <t xml:space="preserve">
Krav 0,13.
Småhus: Oppvarmet loft. I-bjelker, 350mm min. ull, U-verdi 0,12. Referanse 471.013
Boligblokk: Flatt tak mot det fri. Betong hulldekke, 220mm min. ull, U-verdi 0,14. Referanse 471.011</t>
        </r>
      </text>
    </comment>
    <comment ref="C48" authorId="0" shapeId="0">
      <text>
        <r>
          <rPr>
            <b/>
            <sz val="8"/>
            <color indexed="81"/>
            <rFont val="Tahoma"/>
            <family val="2"/>
          </rPr>
          <t>Author:</t>
        </r>
        <r>
          <rPr>
            <sz val="8"/>
            <color indexed="81"/>
            <rFont val="Tahoma"/>
            <family val="2"/>
          </rPr>
          <t xml:space="preserve">
0,06 for boligblokk
0,03 for småhus
</t>
        </r>
      </text>
    </comment>
    <comment ref="F48" authorId="0" shapeId="0">
      <text>
        <r>
          <rPr>
            <b/>
            <sz val="8"/>
            <color indexed="81"/>
            <rFont val="Tahoma"/>
            <family val="2"/>
          </rPr>
          <t>Author:</t>
        </r>
        <r>
          <rPr>
            <sz val="8"/>
            <color indexed="81"/>
            <rFont val="Tahoma"/>
            <family val="2"/>
          </rPr>
          <t xml:space="preserve">
I utgangspunktet skal alle yrkesbygg ha 0,06. Merk at det er benyttet 0,03 for barnehage i SIMIEN-fil fra SINTEF Byggforsk, og det er ifølge bygningsfysiker er det fornuftig fordi det ligner på småhus.
</t>
        </r>
      </text>
    </comment>
    <comment ref="C49" authorId="0" shapeId="0">
      <text>
        <r>
          <rPr>
            <b/>
            <sz val="8"/>
            <color indexed="81"/>
            <rFont val="Tahoma"/>
            <family val="2"/>
          </rPr>
          <t>Author:</t>
        </r>
        <r>
          <rPr>
            <sz val="8"/>
            <color indexed="81"/>
            <rFont val="Tahoma"/>
            <family val="2"/>
          </rPr>
          <t xml:space="preserve">
1,5 for boligblokk
2,5 for småhus
</t>
        </r>
      </text>
    </comment>
    <comment ref="F50" authorId="0" shapeId="0">
      <text>
        <r>
          <rPr>
            <b/>
            <sz val="8"/>
            <color indexed="81"/>
            <rFont val="Tahoma"/>
            <family val="2"/>
          </rPr>
          <t>Author:</t>
        </r>
        <r>
          <rPr>
            <sz val="8"/>
            <color indexed="81"/>
            <rFont val="Tahoma"/>
            <family val="2"/>
          </rPr>
          <t xml:space="preserve">
Bruker for nyere bygg veiledende luftmengder ihht. NS3031 tabell B1.</t>
        </r>
      </text>
    </comment>
    <comment ref="K50" authorId="1" shapeId="0">
      <text>
        <r>
          <rPr>
            <b/>
            <sz val="9"/>
            <color indexed="81"/>
            <rFont val="Tahoma"/>
            <family val="2"/>
          </rPr>
          <t>Trond Ivar Bøhn:</t>
        </r>
        <r>
          <rPr>
            <sz val="9"/>
            <color indexed="81"/>
            <rFont val="Tahoma"/>
            <family val="2"/>
          </rPr>
          <t xml:space="preserve">
hhv i og utenfor driftstid</t>
        </r>
      </text>
    </comment>
    <comment ref="L50" authorId="1" shapeId="0">
      <text>
        <r>
          <rPr>
            <b/>
            <sz val="9"/>
            <color indexed="81"/>
            <rFont val="Tahoma"/>
            <family val="2"/>
          </rPr>
          <t>Trond Ivar Bøhn:</t>
        </r>
        <r>
          <rPr>
            <sz val="9"/>
            <color indexed="81"/>
            <rFont val="Tahoma"/>
            <family val="2"/>
          </rPr>
          <t xml:space="preserve">
hhv i og utenfor driftstid</t>
        </r>
      </text>
    </comment>
    <comment ref="F51" authorId="0" shapeId="0">
      <text>
        <r>
          <rPr>
            <b/>
            <sz val="9"/>
            <color indexed="81"/>
            <rFont val="Tahoma"/>
            <family val="2"/>
          </rPr>
          <t>Author:</t>
        </r>
        <r>
          <rPr>
            <sz val="9"/>
            <color indexed="81"/>
            <rFont val="Tahoma"/>
            <family val="2"/>
          </rPr>
          <t xml:space="preserve">
Kravet er redusert til 70 % for arealer der varmegjenvinning medfører risiko for spredning av forurensning/smitte. </t>
        </r>
        <r>
          <rPr>
            <u/>
            <sz val="9"/>
            <color indexed="81"/>
            <rFont val="Tahoma"/>
            <family val="2"/>
          </rPr>
          <t>Kan</t>
        </r>
        <r>
          <rPr>
            <sz val="9"/>
            <color indexed="81"/>
            <rFont val="Tahoma"/>
            <family val="2"/>
          </rPr>
          <t xml:space="preserve"> gjelde sykehus, sykehjem og industri/verksted.
</t>
        </r>
      </text>
    </comment>
    <comment ref="C52"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 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Kravet er nå ytterligere spisset og gjennomsnittet nermer seg vel -10.</t>
        </r>
      </text>
    </comment>
    <comment ref="F52"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 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Kravet er nå ytterligere spisset og gjennomsnittet nermer seg vel -10.</t>
        </r>
      </text>
    </comment>
    <comment ref="F55" authorId="0" shapeId="0">
      <text>
        <r>
          <rPr>
            <b/>
            <sz val="9"/>
            <color indexed="81"/>
            <rFont val="Tahoma"/>
            <family val="2"/>
          </rPr>
          <t>Author:</t>
        </r>
        <r>
          <rPr>
            <sz val="9"/>
            <color indexed="81"/>
            <rFont val="Tahoma"/>
            <family val="2"/>
          </rPr>
          <t xml:space="preserve">
Tiltak som eliminerer bygningens behov for lokal kjøling.</t>
        </r>
      </text>
    </comment>
    <comment ref="F57" authorId="0" shapeId="0">
      <text>
        <r>
          <rPr>
            <b/>
            <sz val="8"/>
            <color indexed="81"/>
            <rFont val="Tahoma"/>
            <family val="2"/>
          </rPr>
          <t>Author:</t>
        </r>
        <r>
          <rPr>
            <sz val="8"/>
            <color indexed="81"/>
            <rFont val="Tahoma"/>
            <family val="2"/>
          </rPr>
          <t xml:space="preserve">
Bruker for nyere bygg standardverdi iht. NS3031 tabell A1. For TEK10 reduserer vi denne til 80% grunnet tiltak lysstyring.</t>
        </r>
      </text>
    </comment>
    <comment ref="F61" authorId="0" shapeId="0">
      <text>
        <r>
          <rPr>
            <b/>
            <sz val="8"/>
            <color indexed="81"/>
            <rFont val="Tahoma"/>
            <family val="2"/>
          </rPr>
          <t>Author:</t>
        </r>
        <r>
          <rPr>
            <sz val="8"/>
            <color indexed="81"/>
            <rFont val="Tahoma"/>
            <family val="2"/>
          </rPr>
          <t xml:space="preserve">
Barnehage 0,35 som for bolig</t>
        </r>
      </text>
    </comment>
    <comment ref="F62" authorId="0" shapeId="0">
      <text>
        <r>
          <rPr>
            <b/>
            <sz val="8"/>
            <color indexed="81"/>
            <rFont val="Tahoma"/>
            <family val="2"/>
          </rPr>
          <t>Author:</t>
        </r>
        <r>
          <rPr>
            <sz val="8"/>
            <color indexed="81"/>
            <rFont val="Tahoma"/>
            <family val="2"/>
          </rPr>
          <t xml:space="preserve">
barnehage som for bolig, dvs. ikke bevegelig solskjerming</t>
        </r>
      </text>
    </comment>
    <comment ref="C69"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F69" authorId="0" shapeId="0">
      <text>
        <r>
          <rPr>
            <b/>
            <sz val="8"/>
            <color indexed="81"/>
            <rFont val="Tahoma"/>
            <family val="2"/>
          </rPr>
          <t>Author:</t>
        </r>
        <r>
          <rPr>
            <sz val="8"/>
            <color indexed="81"/>
            <rFont val="Tahoma"/>
            <family val="2"/>
          </rPr>
          <t xml:space="preserve">
Samlet glass-, vindus- og dørareal i forhold til bygningens oppvarmede BRA</t>
        </r>
      </text>
    </comment>
    <comment ref="C70" authorId="1" shapeId="0">
      <text>
        <r>
          <rPr>
            <b/>
            <sz val="9"/>
            <color indexed="81"/>
            <rFont val="Tahoma"/>
            <family val="2"/>
          </rPr>
          <t>Trond Ivar Bøhn:</t>
        </r>
        <r>
          <rPr>
            <sz val="9"/>
            <color indexed="81"/>
            <rFont val="Tahoma"/>
            <family val="2"/>
          </rPr>
          <t xml:space="preserve">
Krav 0,18.
Småhus: 36x98 utforing,36x148 stender, 250mm min. ull, U-verdi 0,17. Referanse 471.012
Boligblokk: Bindingsverk i tre, 200mm min. ull,100mm kuldebrobryter, U-verdi 0,22. Referanse 471.015</t>
        </r>
      </text>
    </comment>
    <comment ref="C71" authorId="1" shapeId="0">
      <text>
        <r>
          <rPr>
            <b/>
            <sz val="9"/>
            <color indexed="81"/>
            <rFont val="Tahoma"/>
            <family val="2"/>
          </rPr>
          <t>Trond Ivar Bøhn:</t>
        </r>
        <r>
          <rPr>
            <sz val="9"/>
            <color indexed="81"/>
            <rFont val="Tahoma"/>
            <family val="2"/>
          </rPr>
          <t xml:space="preserve">
Krav 0,15.
Småhus: Fundament gulv. 250mm markplate, 100mm armert betong, U-verdi 0,15. Referanse 521.112.
Boligblokk: Gulv mor uoppvarmet kjeller. 250mm markplate, 100mm armert betong, U-verdi 0,15. Referanse 521.112.</t>
        </r>
      </text>
    </comment>
    <comment ref="C72" authorId="1" shapeId="0">
      <text>
        <r>
          <rPr>
            <b/>
            <sz val="9"/>
            <color indexed="81"/>
            <rFont val="Tahoma"/>
            <family val="2"/>
          </rPr>
          <t>Trond Ivar Bøhn:</t>
        </r>
        <r>
          <rPr>
            <sz val="9"/>
            <color indexed="81"/>
            <rFont val="Tahoma"/>
            <family val="2"/>
          </rPr>
          <t xml:space="preserve">
Krav 0,13.
Småhus: Oppvarmet loft. I-bjelker, 350mm min. ull, U-verdi 0,12. Referanse 471.013
Boligblokk: Flatt tak mot det fri. Betong hulldekke, 220mm min. ull, U-verdi 0,14. Referanse 471.011</t>
        </r>
      </text>
    </comment>
    <comment ref="C74" authorId="0" shapeId="0">
      <text>
        <r>
          <rPr>
            <b/>
            <sz val="8"/>
            <color indexed="81"/>
            <rFont val="Tahoma"/>
            <family val="2"/>
          </rPr>
          <t>Author:</t>
        </r>
        <r>
          <rPr>
            <sz val="8"/>
            <color indexed="81"/>
            <rFont val="Tahoma"/>
            <family val="2"/>
          </rPr>
          <t xml:space="preserve">
0,06 for boligblokk
0,03 for småhus
</t>
        </r>
      </text>
    </comment>
    <comment ref="F74" authorId="0" shapeId="0">
      <text>
        <r>
          <rPr>
            <b/>
            <sz val="8"/>
            <color indexed="81"/>
            <rFont val="Tahoma"/>
            <family val="2"/>
          </rPr>
          <t>Author:</t>
        </r>
        <r>
          <rPr>
            <sz val="8"/>
            <color indexed="81"/>
            <rFont val="Tahoma"/>
            <family val="2"/>
          </rPr>
          <t xml:space="preserve">
I utgangspunktet skal alle yrkesbygg ha 0,06. Merk at det er benyttet 0,03 for barnehage i SIMIEN-fil fra SINTEF Byggforsk, og det er ifølge bygningsfysiker er det fornuftig fordi det ligner på småhus.
</t>
        </r>
      </text>
    </comment>
    <comment ref="C75" authorId="0" shapeId="0">
      <text>
        <r>
          <rPr>
            <b/>
            <sz val="8"/>
            <color indexed="81"/>
            <rFont val="Tahoma"/>
            <family val="2"/>
          </rPr>
          <t>Author:</t>
        </r>
        <r>
          <rPr>
            <sz val="8"/>
            <color indexed="81"/>
            <rFont val="Tahoma"/>
            <family val="2"/>
          </rPr>
          <t xml:space="preserve">
1,5 for boligblokk
2,5 for småhus
</t>
        </r>
      </text>
    </comment>
    <comment ref="F76" authorId="0" shapeId="0">
      <text>
        <r>
          <rPr>
            <b/>
            <sz val="8"/>
            <color indexed="81"/>
            <rFont val="Tahoma"/>
            <family val="2"/>
          </rPr>
          <t>Author:</t>
        </r>
        <r>
          <rPr>
            <sz val="8"/>
            <color indexed="81"/>
            <rFont val="Tahoma"/>
            <family val="2"/>
          </rPr>
          <t xml:space="preserve">
Bruker for nyere bygg veiledende luftmengder ihht. NS3031 tabell B1.</t>
        </r>
      </text>
    </comment>
    <comment ref="K76" authorId="1" shapeId="0">
      <text>
        <r>
          <rPr>
            <b/>
            <sz val="9"/>
            <color indexed="81"/>
            <rFont val="Tahoma"/>
            <family val="2"/>
          </rPr>
          <t>Trond Ivar Bøhn:</t>
        </r>
        <r>
          <rPr>
            <sz val="9"/>
            <color indexed="81"/>
            <rFont val="Tahoma"/>
            <family val="2"/>
          </rPr>
          <t xml:space="preserve">
hhv i og utenfor driftstid</t>
        </r>
      </text>
    </comment>
    <comment ref="L76" authorId="1" shapeId="0">
      <text>
        <r>
          <rPr>
            <b/>
            <sz val="9"/>
            <color indexed="81"/>
            <rFont val="Tahoma"/>
            <family val="2"/>
          </rPr>
          <t>Trond Ivar Bøhn:</t>
        </r>
        <r>
          <rPr>
            <sz val="9"/>
            <color indexed="81"/>
            <rFont val="Tahoma"/>
            <family val="2"/>
          </rPr>
          <t xml:space="preserve">
hhv i og utenfor driftstid</t>
        </r>
      </text>
    </comment>
    <comment ref="C78"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Andelen roterende øker og tallet settes til f.eks -6.</t>
        </r>
      </text>
    </comment>
    <comment ref="F78" authorId="0" shapeId="0">
      <text>
        <r>
          <rPr>
            <b/>
            <sz val="8"/>
            <color indexed="81"/>
            <rFont val="Tahoma"/>
            <family val="2"/>
          </rPr>
          <t>Author:</t>
        </r>
        <r>
          <rPr>
            <sz val="8"/>
            <color indexed="81"/>
            <rFont val="Tahoma"/>
            <family val="2"/>
          </rPr>
          <t xml:space="preserve">
Ikke lagt inn i opprinnelige SIMIEN-filer fra SINTEF Byggforsk - de som energirammene er basert på. Sannsynligvis fordibehovet for frostsikring er lite når virkningsgrad vgj er så god
</t>
        </r>
        <r>
          <rPr>
            <b/>
            <sz val="8"/>
            <color indexed="81"/>
            <rFont val="Tahoma"/>
            <family val="2"/>
          </rPr>
          <t>Gunnar Eriksen</t>
        </r>
        <r>
          <rPr>
            <sz val="8"/>
            <color indexed="81"/>
            <rFont val="Tahoma"/>
            <family val="2"/>
          </rPr>
          <t xml:space="preserve">
Som et snitt av roterende og andre vekslere som fortsatt florerer rundt i bygningsmassen. Andelen roterende øker og tallet settes til f.eks -6.</t>
        </r>
      </text>
    </comment>
    <comment ref="F81" authorId="0" shapeId="0">
      <text>
        <r>
          <rPr>
            <b/>
            <sz val="8"/>
            <color indexed="81"/>
            <rFont val="Tahoma"/>
            <family val="2"/>
          </rPr>
          <t>Author:</t>
        </r>
        <r>
          <rPr>
            <sz val="8"/>
            <color indexed="81"/>
            <rFont val="Tahoma"/>
            <family val="2"/>
          </rPr>
          <t xml:space="preserve">
Automatisk utvendig solavskjermingsutstyr eller andre tiltak for å oppfylle krav til termisk komfort uten bruk av lokalkjøling
</t>
        </r>
      </text>
    </comment>
    <comment ref="F83" authorId="0" shapeId="0">
      <text>
        <r>
          <rPr>
            <b/>
            <sz val="8"/>
            <color indexed="81"/>
            <rFont val="Tahoma"/>
            <family val="2"/>
          </rPr>
          <t>Author:</t>
        </r>
        <r>
          <rPr>
            <sz val="8"/>
            <color indexed="81"/>
            <rFont val="Tahoma"/>
            <family val="2"/>
          </rPr>
          <t xml:space="preserve">
Bruker for nyere bygg standardverdi iht. NS3031 tabell A1</t>
        </r>
      </text>
    </comment>
    <comment ref="F87" authorId="0" shapeId="0">
      <text>
        <r>
          <rPr>
            <b/>
            <sz val="8"/>
            <color indexed="81"/>
            <rFont val="Tahoma"/>
            <family val="2"/>
          </rPr>
          <t>Author:</t>
        </r>
        <r>
          <rPr>
            <sz val="8"/>
            <color indexed="81"/>
            <rFont val="Tahoma"/>
            <family val="2"/>
          </rPr>
          <t xml:space="preserve">
Barnehage 0,35 som for bolig</t>
        </r>
      </text>
    </comment>
    <comment ref="F88" authorId="0" shapeId="0">
      <text>
        <r>
          <rPr>
            <b/>
            <sz val="8"/>
            <color indexed="81"/>
            <rFont val="Tahoma"/>
            <family val="2"/>
          </rPr>
          <t>Author:</t>
        </r>
        <r>
          <rPr>
            <sz val="8"/>
            <color indexed="81"/>
            <rFont val="Tahoma"/>
            <family val="2"/>
          </rPr>
          <t xml:space="preserve">
barnehage som for bolig, dvs. ikke bevegelig solskjerming</t>
        </r>
      </text>
    </comment>
    <comment ref="C95" authorId="0" shapeId="0">
      <text>
        <r>
          <rPr>
            <b/>
            <sz val="9"/>
            <color indexed="81"/>
            <rFont val="Tahoma"/>
            <family val="2"/>
          </rPr>
          <t>Author:</t>
        </r>
        <r>
          <rPr>
            <sz val="9"/>
            <color indexed="81"/>
            <rFont val="Tahoma"/>
            <family val="2"/>
          </rPr>
          <t xml:space="preserve">
Samlet glass-, vindus- og dørareal i forhold til bygningens nettoareal regnet inntil 10 m fra yttervegg for de oppvarmede delene av byggverket.</t>
        </r>
      </text>
    </comment>
    <comment ref="F95" authorId="0" shapeId="0">
      <text>
        <r>
          <rPr>
            <b/>
            <sz val="9"/>
            <color indexed="81"/>
            <rFont val="Tahoma"/>
            <family val="2"/>
          </rPr>
          <t>Author:</t>
        </r>
        <r>
          <rPr>
            <sz val="9"/>
            <color indexed="81"/>
            <rFont val="Tahoma"/>
            <family val="2"/>
          </rPr>
          <t xml:space="preserve">
Samlet glass-, vindus- og dørareal i forhold til bygningens nettoareal regnet inntil 10 m fra yttervegg for de oppvarmede delene av byggverket.</t>
        </r>
      </text>
    </comment>
    <comment ref="C96" authorId="1" shapeId="0">
      <text>
        <r>
          <rPr>
            <b/>
            <sz val="9"/>
            <color indexed="81"/>
            <rFont val="Tahoma"/>
            <family val="2"/>
          </rPr>
          <t>Trond Ivar Bøhn:</t>
        </r>
        <r>
          <rPr>
            <sz val="9"/>
            <color indexed="81"/>
            <rFont val="Tahoma"/>
            <family val="2"/>
          </rPr>
          <t xml:space="preserve">
Krav 0,22.
Småhus: 12mm Asfalt vindtett, 36x198 stender, 200mm min. ull, U-verdi 0,21. Referanse 471.012
Boligblokk:Bindingsverk i tre, 200mm min. ull,50mm kuldebrobryter, U-verdi 0,27. Referanse 471.015</t>
        </r>
      </text>
    </comment>
    <comment ref="F96" authorId="1" shapeId="0">
      <text>
        <r>
          <rPr>
            <b/>
            <sz val="9"/>
            <color indexed="81"/>
            <rFont val="Tahoma"/>
            <family val="2"/>
          </rPr>
          <t>Trond Ivar Bøhn:</t>
        </r>
        <r>
          <rPr>
            <sz val="9"/>
            <color indexed="81"/>
            <rFont val="Tahoma"/>
            <family val="2"/>
          </rPr>
          <t xml:space="preserve">
Krav 0,22</t>
        </r>
      </text>
    </comment>
    <comment ref="C97" authorId="0" shapeId="0">
      <text>
        <r>
          <rPr>
            <b/>
            <sz val="8"/>
            <color indexed="81"/>
            <rFont val="Tahoma"/>
            <family val="2"/>
          </rPr>
          <t>Author:</t>
        </r>
        <r>
          <rPr>
            <sz val="8"/>
            <color indexed="81"/>
            <rFont val="Tahoma"/>
            <family val="2"/>
          </rPr>
          <t xml:space="preserve">
Krav 0,15. 
Småhus: . Fundament gulv. 250mm markplate, 100mm armert betong, U-verdi 0,15. Referanse 521.112.
Boligblokk: Gulv mot uoppvarmet kjeller. Betong hulldekke, 220mm min. ull, U-verdi 0,14. Referanse 471.011 / 471.009</t>
        </r>
      </text>
    </comment>
    <comment ref="F97" authorId="0" shapeId="0">
      <text>
        <r>
          <rPr>
            <b/>
            <sz val="8"/>
            <color indexed="81"/>
            <rFont val="Tahoma"/>
            <family val="2"/>
          </rPr>
          <t>Author:</t>
        </r>
        <r>
          <rPr>
            <sz val="8"/>
            <color indexed="81"/>
            <rFont val="Tahoma"/>
            <family val="2"/>
          </rPr>
          <t xml:space="preserve">
U-verdi krav 0,15 gjelder gulv på grunn</t>
        </r>
      </text>
    </comment>
    <comment ref="C98" authorId="1" shapeId="0">
      <text>
        <r>
          <rPr>
            <b/>
            <sz val="9"/>
            <color indexed="81"/>
            <rFont val="Tahoma"/>
            <family val="2"/>
          </rPr>
          <t>Trond Ivar Bøhn:</t>
        </r>
        <r>
          <rPr>
            <sz val="9"/>
            <color indexed="81"/>
            <rFont val="Tahoma"/>
            <family val="2"/>
          </rPr>
          <t xml:space="preserve">
Krav 0,15.
Småhus: Oppvarmet loft. I-bjelker, 300mm min. ull, U-verdi 0,14. Referanse 471.013
Boliblokk: Flatt tak mot det fri. Betong hulldekke, 220mm min. ull, U-verdi 0,14. Referanse 471.011</t>
        </r>
      </text>
    </comment>
    <comment ref="F98" authorId="1" shapeId="0">
      <text>
        <r>
          <rPr>
            <b/>
            <sz val="9"/>
            <color indexed="81"/>
            <rFont val="Tahoma"/>
            <family val="2"/>
          </rPr>
          <t>Trond Ivar Bøhn:</t>
        </r>
        <r>
          <rPr>
            <sz val="9"/>
            <color indexed="81"/>
            <rFont val="Tahoma"/>
            <family val="2"/>
          </rPr>
          <t xml:space="preserve">
Krav 0,15</t>
        </r>
      </text>
    </comment>
    <comment ref="C99" authorId="1" shapeId="0">
      <text>
        <r>
          <rPr>
            <b/>
            <sz val="9"/>
            <color indexed="81"/>
            <rFont val="Tahoma"/>
            <family val="2"/>
          </rPr>
          <t>Trond Ivar Bøhn:</t>
        </r>
        <r>
          <rPr>
            <sz val="9"/>
            <color indexed="81"/>
            <rFont val="Tahoma"/>
            <family val="2"/>
          </rPr>
          <t xml:space="preserve">
Krav 1,6</t>
        </r>
      </text>
    </comment>
    <comment ref="F99" authorId="1" shapeId="0">
      <text>
        <r>
          <rPr>
            <b/>
            <sz val="9"/>
            <color indexed="81"/>
            <rFont val="Tahoma"/>
            <family val="2"/>
          </rPr>
          <t>Trond Ivar Bøhn:</t>
        </r>
        <r>
          <rPr>
            <sz val="9"/>
            <color indexed="81"/>
            <rFont val="Tahoma"/>
            <family val="2"/>
          </rPr>
          <t xml:space="preserve">
Krav 2,0</t>
        </r>
      </text>
    </comment>
    <comment ref="C100"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
Eksempelvis sier bygningsfysiker at selv om kravet i TEK97 var 0,22 for yttervegger inkl. kuldebroer, ble det valgt isolasjon som tilfredsstilte 0,22 for veggelementet separat og man regnet ikke inn noen kuldebro, med det resultat at datidens yttervegger i virkeligheten fikk en U-verdi inkl. kuldebroer på i størrelsesorden 0,26.    </t>
        </r>
      </text>
    </comment>
    <comment ref="F100" authorId="0" shapeId="0">
      <text>
        <r>
          <rPr>
            <b/>
            <sz val="8"/>
            <color indexed="81"/>
            <rFont val="Tahoma"/>
            <family val="2"/>
          </rPr>
          <t>Author:</t>
        </r>
        <r>
          <rPr>
            <sz val="8"/>
            <color indexed="81"/>
            <rFont val="Tahoma"/>
            <family val="2"/>
          </rPr>
          <t xml:space="preserve">
I utgangspunktet skal alle yrkesbygg ha 0,06. Merk at det er benyttet 0,03 for barnehage i SIMIEN-fil fra SINTEF Byggforsk, og det er ifølge bygningsfysiker er det fornuftig fordi det ligner på småhus.
Se kommentar for tek10</t>
        </r>
      </text>
    </comment>
    <comment ref="C101"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 Anbefalt nivå for alle bygningskategorier (bortsett fra småhus) over 2 etasjer i byggeforskrifter av 1987 og 1997: 1,5. Gjelder bla. boligblokk.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F101" authorId="0" shapeId="0">
      <text>
        <r>
          <rPr>
            <b/>
            <sz val="9"/>
            <color indexed="81"/>
            <rFont val="Tahoma"/>
            <family val="2"/>
          </rPr>
          <t>Author:</t>
        </r>
        <r>
          <rPr>
            <sz val="9"/>
            <color indexed="81"/>
            <rFont val="Tahoma"/>
            <family val="2"/>
          </rPr>
          <t xml:space="preserve">
I veiledningen til teknisk forskrift, og også gjengitt i NS3031 tabell B3:
- Anbefalt nivå for alle bygningskategorier (bortsett fra småhus) inntil 2 etasjer i byggeforskrifter av 1987 og 1997: 3,0. For de gitte bygningsmodellene betyr dette Barnehage, Skole, Sykehjem, Hotell, Idrettsbygg, Kulturbygg og Industri/verksted.
- Anbefalt nivå for alle bygningskategorier (bortsett fra småhus) over 2 etasjer i byggeforskrifter av 1987 og 1997: 1,5. For de gitte bygningsmodellene betyr dette (Boligblokk), Kontorbygg, Universitet, Sykehus og Forretningsbygg.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F102" authorId="0" shapeId="0">
      <text>
        <r>
          <rPr>
            <b/>
            <sz val="8"/>
            <color indexed="81"/>
            <rFont val="Tahoma"/>
            <family val="2"/>
          </rPr>
          <t>Gunnar Eriksen:</t>
        </r>
        <r>
          <rPr>
            <sz val="8"/>
            <color indexed="81"/>
            <rFont val="Tahoma"/>
            <family val="2"/>
          </rPr>
          <t xml:space="preserve">
Byggeforskrift 1997  inneholder ingen nye krav til luftmengder i fohold til 1987 og Arbeidstilsynets veileder best nr 444 .
Nå er det imidlertid å tolke som preaksepterte løsninger somkan benyttes som minimumsverdier dersom ikke annen løsning dokumenteres at ivaretar forskriftenes intensjon.
A - personbelastning (7 l/s), B- materialer (0,7 - 2,0  l/s) og C- spesielle kilder/prosesser.
Ingen reduksjon ved begrenset brukstid eller avbrudd i oppholdstiden. Ved høyere aktivitet bør A økes.
</t>
        </r>
      </text>
    </comment>
    <comment ref="K102" authorId="1" shapeId="0">
      <text>
        <r>
          <rPr>
            <b/>
            <sz val="9"/>
            <color indexed="81"/>
            <rFont val="Tahoma"/>
            <family val="2"/>
          </rPr>
          <t>Trond Ivar Bøhn:</t>
        </r>
        <r>
          <rPr>
            <sz val="9"/>
            <color indexed="81"/>
            <rFont val="Tahoma"/>
            <family val="2"/>
          </rPr>
          <t xml:space="preserve">
hhv i og utenfor driftstid</t>
        </r>
      </text>
    </comment>
    <comment ref="L102" authorId="1" shapeId="0">
      <text>
        <r>
          <rPr>
            <b/>
            <sz val="9"/>
            <color indexed="81"/>
            <rFont val="Tahoma"/>
            <family val="2"/>
          </rPr>
          <t>Trond Ivar Bøhn:</t>
        </r>
        <r>
          <rPr>
            <sz val="9"/>
            <color indexed="81"/>
            <rFont val="Tahoma"/>
            <family val="2"/>
          </rPr>
          <t xml:space="preserve">
hhv i og utenfor driftstid</t>
        </r>
      </text>
    </comment>
    <comment ref="C103" authorId="0" shapeId="0">
      <text>
        <r>
          <rPr>
            <b/>
            <sz val="8"/>
            <color indexed="81"/>
            <rFont val="Tahoma"/>
            <family val="2"/>
          </rPr>
          <t>Gunnar Eriksen:</t>
        </r>
        <r>
          <rPr>
            <sz val="8"/>
            <color indexed="81"/>
            <rFont val="Tahoma"/>
            <family val="2"/>
          </rPr>
          <t xml:space="preserve">
NBI blad:
A552.304 «Ventilasjon av småhus» fra 1980 - utgått 1984-1.  I denne står det fint lite om annet enn avtrekksventilasjon. De har ofret noe få linjer helt på slutten om at «hensiktsmessige varmegjenvinnere….. halvparten av energitapet…..», men ut fra dette tror jeg trygt vi kan si at naturlige og mekaniske avtrekksanlegg dominerte.
Tilsvarende blad A552.304 skiftet så navn til «Ventilasjon av småhus - Systemer og komponenter» og var gjeldene fra 1984 til 1994.
Her vies balansert ventilasjon med varmegjenvinning mer plass, men fortsatt er avtrekksanlegg mest omtalt. Det står bl.a at «det ikke kan påvises en slik energigevinst …… Fordelen med balansert ventilasjon er først og fremst trekkfri ….». Dette sett opp mot de to andre hovedsystemene som er naturlig og mekanisk avtrekksventilasjon. 
Det virker fortsatt i 1984 som om mekanisk balansert ventilasjon er noe sært i boligsammenheng.
Ved neste revisjon ser det ut som om det er splittet i to. Den ene har tittelen endret til «Balansert ventilasjon av småhus», NBI nummeret er nå 552.303 og bladet er utgitt i 1995 og gjelder til 2006.
Denne blir så revidert i 2006 og gjelder fortsatt.
Den andre nye er 552.302 «Naturlig og mekanisk ventilasjon av småhus» - utgitt 1994 og fortsatt gjeldene.
Basert på dette vil jeg anta at vi kan hevde at det frem til 90 tallet og vel så det var et overveiende flertall med mekaniske- og naturlige avtrekksanlegg. Fra midt på nittitallet kom så de balanserte systemene inn i større grad, men jeg antar det fortsatt var mye avtrekk. 
Så da sier vi vel at referansebygget har mekanisk avtrekk og 0% gjenvinning.
</t>
        </r>
      </text>
    </comment>
    <comment ref="F103" authorId="0" shapeId="0">
      <text>
        <r>
          <rPr>
            <b/>
            <sz val="8"/>
            <color indexed="81"/>
            <rFont val="Tahoma"/>
            <family val="2"/>
          </rPr>
          <t>Author:</t>
        </r>
        <r>
          <rPr>
            <sz val="8"/>
            <color indexed="81"/>
            <rFont val="Tahoma"/>
            <family val="2"/>
          </rPr>
          <t xml:space="preserve">
Antar overvekt av roterende vgj 70% men med innslag av plategjenvinner og batterigjenvinnere. Snitt ca 65%
</t>
        </r>
        <r>
          <rPr>
            <b/>
            <sz val="8"/>
            <color indexed="81"/>
            <rFont val="Tahoma"/>
            <family val="2"/>
          </rPr>
          <t>Gunnar Eriksen:</t>
        </r>
        <r>
          <rPr>
            <sz val="8"/>
            <color indexed="81"/>
            <rFont val="Tahoma"/>
            <family val="2"/>
          </rPr>
          <t xml:space="preserve">
OK</t>
        </r>
      </text>
    </comment>
    <comment ref="F104" authorId="0" shapeId="0">
      <text>
        <r>
          <rPr>
            <b/>
            <sz val="8"/>
            <color indexed="81"/>
            <rFont val="Tahoma"/>
            <family val="2"/>
          </rPr>
          <t>Author:</t>
        </r>
        <r>
          <rPr>
            <sz val="8"/>
            <color indexed="81"/>
            <rFont val="Tahoma"/>
            <family val="2"/>
          </rPr>
          <t xml:space="preserve">
Ihht. NS3031 tabell H1 for regenerativ vgj
</t>
        </r>
        <r>
          <rPr>
            <b/>
            <sz val="8"/>
            <color indexed="81"/>
            <rFont val="Tahoma"/>
            <family val="2"/>
          </rPr>
          <t>Gunnar Eriksen</t>
        </r>
        <r>
          <rPr>
            <sz val="8"/>
            <color indexed="81"/>
            <rFont val="Tahoma"/>
            <family val="2"/>
          </rPr>
          <t xml:space="preserve">
Som et snitt av roterende og andre vekslere som florerer rundt i bygningsmassen fra denne tiden, bør kanskje tallet settes til f.eks -2.</t>
        </r>
      </text>
    </comment>
    <comment ref="F105" authorId="0" shapeId="0">
      <text>
        <r>
          <rPr>
            <b/>
            <sz val="8"/>
            <color indexed="81"/>
            <rFont val="Tahoma"/>
            <family val="2"/>
          </rPr>
          <t>Trond Ivar Bøhn:</t>
        </r>
        <r>
          <rPr>
            <sz val="8"/>
            <color indexed="81"/>
            <rFont val="Tahoma"/>
            <family val="2"/>
          </rPr>
          <t xml:space="preserve">
Ref. byggforsk, byggdetaljer 552.335: 
SFP &lt; 2,5 ved nyinstallasjoner i eksisterende bygninger.
SFP &lt; 4,0 ved nyinstallasjoner i eksisterende bygninger med spesielt trange tekniske rom og vanskelige rørføringe.
Som representativ tilstand velges SFP på 3,0.
Ved utskifting av aggregat antas at man i sitt kommer ned på 2,5. At man ikke kommer ned på 2,0 skyldes at eksisterende kanalnett beholdes, med de begrensninger og ikke-optimale løsninger dette gir.</t>
        </r>
      </text>
    </comment>
    <comment ref="C106" authorId="0" shapeId="0">
      <text>
        <r>
          <rPr>
            <b/>
            <sz val="8"/>
            <color indexed="81"/>
            <rFont val="Tahoma"/>
            <family val="2"/>
          </rPr>
          <t>Author:</t>
        </r>
        <r>
          <rPr>
            <sz val="8"/>
            <color indexed="81"/>
            <rFont val="Tahoma"/>
            <family val="2"/>
          </rPr>
          <t xml:space="preserve">
Må kunne forutsette at også eldre bygg har natt- og helgesenkning</t>
        </r>
      </text>
    </comment>
    <comment ref="F106" authorId="0" shapeId="0">
      <text>
        <r>
          <rPr>
            <b/>
            <sz val="8"/>
            <color indexed="81"/>
            <rFont val="Tahoma"/>
            <family val="2"/>
          </rPr>
          <t>Gunnar Eriksen:</t>
        </r>
        <r>
          <rPr>
            <sz val="8"/>
            <color indexed="81"/>
            <rFont val="Tahoma"/>
            <family val="2"/>
          </rPr>
          <t xml:space="preserve">
Jeg vil tro at en del bygg i denne perioden har nattesenkning. </t>
        </r>
      </text>
    </comment>
    <comment ref="F109" authorId="0" shapeId="0">
      <text>
        <r>
          <rPr>
            <b/>
            <sz val="8"/>
            <color indexed="81"/>
            <rFont val="Tahoma"/>
            <family val="2"/>
          </rPr>
          <t>Author:</t>
        </r>
        <r>
          <rPr>
            <sz val="8"/>
            <color indexed="81"/>
            <rFont val="Tahoma"/>
            <family val="2"/>
          </rPr>
          <t xml:space="preserve">
Bruker for nyere bygg standardverdi iht. NS3031 tabell A1</t>
        </r>
      </text>
    </comment>
    <comment ref="F114"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C121" authorId="0" shapeId="0">
      <text>
        <r>
          <rPr>
            <b/>
            <sz val="8"/>
            <color indexed="81"/>
            <rFont val="Tahoma"/>
            <family val="2"/>
          </rPr>
          <t>Author:</t>
        </r>
        <r>
          <rPr>
            <sz val="8"/>
            <color indexed="81"/>
            <rFont val="Tahoma"/>
            <family val="2"/>
          </rPr>
          <t xml:space="preserve">
Må kunne forutsette samme arealandel</t>
        </r>
      </text>
    </comment>
    <comment ref="F121" authorId="0" shapeId="0">
      <text>
        <r>
          <rPr>
            <b/>
            <sz val="8"/>
            <color indexed="81"/>
            <rFont val="Tahoma"/>
            <family val="2"/>
          </rPr>
          <t>Author:</t>
        </r>
        <r>
          <rPr>
            <sz val="8"/>
            <color indexed="81"/>
            <rFont val="Tahoma"/>
            <family val="2"/>
          </rPr>
          <t xml:space="preserve">
Må kunne forutsette samme arealandel</t>
        </r>
      </text>
    </comment>
    <comment ref="C122" authorId="1" shapeId="0">
      <text>
        <r>
          <rPr>
            <b/>
            <sz val="9"/>
            <color indexed="81"/>
            <rFont val="Tahoma"/>
            <family val="2"/>
          </rPr>
          <t>Trond Ivar Bøhn:</t>
        </r>
        <r>
          <rPr>
            <sz val="9"/>
            <color indexed="81"/>
            <rFont val="Tahoma"/>
            <family val="2"/>
          </rPr>
          <t xml:space="preserve">
U-verdi krav 0,30.
Småhus: 36x148 stender, 150mm min. ull, U-verdi 0,28. Referanse 471.012
Boligblokk: Bindingsverk i tre, 150mm min. ull,50mm kuldebrobryter, U-verdi 0,29. Referanse 471.015</t>
        </r>
      </text>
    </comment>
    <comment ref="F122" authorId="1" shapeId="0">
      <text>
        <r>
          <rPr>
            <b/>
            <sz val="9"/>
            <color indexed="81"/>
            <rFont val="Tahoma"/>
            <family val="2"/>
          </rPr>
          <t>Trond Ivar Bøhn:</t>
        </r>
        <r>
          <rPr>
            <sz val="9"/>
            <color indexed="81"/>
            <rFont val="Tahoma"/>
            <family val="2"/>
          </rPr>
          <t xml:space="preserve">
U-verdi krav 0,30</t>
        </r>
      </text>
    </comment>
    <comment ref="C123" authorId="0" shapeId="0">
      <text>
        <r>
          <rPr>
            <b/>
            <sz val="8"/>
            <color indexed="81"/>
            <rFont val="Tahoma"/>
            <family val="2"/>
          </rPr>
          <t>Author:</t>
        </r>
        <r>
          <rPr>
            <sz val="8"/>
            <color indexed="81"/>
            <rFont val="Tahoma"/>
            <family val="2"/>
          </rPr>
          <t xml:space="preserve">
U-verdi 0,30 gjelder gulv på grunn. For gulv mot det fri var kravet 0,20.
Småhus: Fundament gulv. 80mm armert betong 150mm markplate, ringmur 250mm lettklinkerblokk, U-verdi 0,25. Referanse 521.112
Boligblokk: Gulv mor uoppvarmet kjeller. Betonggulv med 120mm min. ull. U-verdi konstruksjon 0,27. U-verdi effektiv 0,20. Referanse 471.011 / 471.009</t>
        </r>
      </text>
    </comment>
    <comment ref="F123" authorId="0" shapeId="0">
      <text>
        <r>
          <rPr>
            <b/>
            <sz val="8"/>
            <color indexed="81"/>
            <rFont val="Tahoma"/>
            <family val="2"/>
          </rPr>
          <t>Author:</t>
        </r>
        <r>
          <rPr>
            <sz val="8"/>
            <color indexed="81"/>
            <rFont val="Tahoma"/>
            <family val="2"/>
          </rPr>
          <t xml:space="preserve">
U-verdi 0,30 gjelder gulv på grunn. For gulv mot det fri var kravet 0,20.</t>
        </r>
      </text>
    </comment>
    <comment ref="C124" authorId="1" shapeId="0">
      <text>
        <r>
          <rPr>
            <b/>
            <sz val="9"/>
            <color indexed="81"/>
            <rFont val="Tahoma"/>
            <family val="2"/>
          </rPr>
          <t>Trond Ivar Bøhn:</t>
        </r>
        <r>
          <rPr>
            <sz val="9"/>
            <color indexed="81"/>
            <rFont val="Tahoma"/>
            <family val="2"/>
          </rPr>
          <t xml:space="preserve">
U-verdi krav 0,20.
Småhus: Oppvarmet loft. 48x148+98 bjelker, 250mm min. ull, U-verdi 0,18. Referanse 471.013
Boligblokk: Flatt tak mot det fri. Betongdekke 180mm min. ull, U-verdi 0,20. Referanse 471.013</t>
        </r>
      </text>
    </comment>
    <comment ref="F124" authorId="1" shapeId="0">
      <text>
        <r>
          <rPr>
            <b/>
            <sz val="9"/>
            <color indexed="81"/>
            <rFont val="Tahoma"/>
            <family val="2"/>
          </rPr>
          <t>Trond Ivar Bøhn:</t>
        </r>
        <r>
          <rPr>
            <sz val="9"/>
            <color indexed="81"/>
            <rFont val="Tahoma"/>
            <family val="2"/>
          </rPr>
          <t xml:space="preserve">
U-verdi krav 0,20</t>
        </r>
      </text>
    </comment>
    <comment ref="C125" authorId="0" shapeId="0">
      <text>
        <r>
          <rPr>
            <b/>
            <sz val="8"/>
            <color indexed="81"/>
            <rFont val="Tahoma"/>
            <family val="2"/>
          </rPr>
          <t>Author:</t>
        </r>
        <r>
          <rPr>
            <sz val="8"/>
            <color indexed="81"/>
            <rFont val="Tahoma"/>
            <family val="2"/>
          </rPr>
          <t xml:space="preserve">
Kravet til dører er 2,0. Men i SIMIEN-filene er ikke dører spesifisert, kun vinduer, så da brukes kravet for vinduer på 2,4. Arealandelen dører ift. vinduer er uansett ikke stor.</t>
        </r>
      </text>
    </comment>
    <comment ref="F125" authorId="0" shapeId="0">
      <text>
        <r>
          <rPr>
            <b/>
            <sz val="8"/>
            <color indexed="81"/>
            <rFont val="Tahoma"/>
            <family val="2"/>
          </rPr>
          <t>Author:</t>
        </r>
        <r>
          <rPr>
            <sz val="8"/>
            <color indexed="81"/>
            <rFont val="Tahoma"/>
            <family val="2"/>
          </rPr>
          <t xml:space="preserve">
Gjelder vinduer. (Dører hadde krav 2,0). Men i SIMIEN-bygningsmodellen er det kun vinduer...</t>
        </r>
      </text>
    </comment>
    <comment ref="C126"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F126" authorId="2" shapeId="0">
      <text>
        <r>
          <rPr>
            <b/>
            <sz val="8"/>
            <color indexed="81"/>
            <rFont val="Tahoma"/>
            <family val="2"/>
          </rPr>
          <t>Forfatter:</t>
        </r>
        <r>
          <rPr>
            <sz val="8"/>
            <color indexed="81"/>
            <rFont val="Tahoma"/>
            <family val="2"/>
          </rPr>
          <t xml:space="preserve">
Barnehage og sykehjem: 0,05
Øvrige: 0,12
Benytter standardverdier hentet fra NS3031 tabell A4. Barnehage antas ha bæresystem i tre. Øvrige antas ha bæresystem i betong, mur eller stål og 5 cm kuldebrobryter i fasadene. (10cm kuldebrobryter var ikke vanlig tidligere.) Egentlig er U-verdi krav i datidens TEK gitt  inkl./medregnet kuldebroer, men dette ble i praksis ikke fulgt. 
</t>
        </r>
      </text>
    </comment>
    <comment ref="C127"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1987 og 1997: 1,5. Gjelder bla. boligblokk.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F127" authorId="0" shapeId="0">
      <text>
        <r>
          <rPr>
            <b/>
            <sz val="9"/>
            <color indexed="81"/>
            <rFont val="Tahoma"/>
            <family val="2"/>
          </rPr>
          <t>Author:</t>
        </r>
        <r>
          <rPr>
            <sz val="9"/>
            <color indexed="81"/>
            <rFont val="Tahoma"/>
            <family val="2"/>
          </rPr>
          <t xml:space="preserve">
I veiledningen til teknisk forskrift, og også gjengitt i NS3031 tabell B3:
- Anbefalt nivå for alle bygningskategorier (bortsett fra småhus) inntil 2 etasjer i byggeforskrifter av 1987 og 1997: 3,0. For de gitte bygningsmodellene betyr dette Barnehage, Skole, Sykehjem, Hotell, Idrettsbygg, Kulturbygg og Industri/verksted.
- Anbefalt nivå for alle bygningskategorier (bortsett fra småhus) over 2 etasjer i byggeforskrifter av 1987 og 1997: 1,5. For de gitte bygningsmodellene betyr dette (Boligblokk), Kontorbygg, Universitet, Sykehus og Forretningsbygg.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t>
        </r>
      </text>
    </comment>
    <comment ref="D128" authorId="1" shapeId="0">
      <text>
        <r>
          <rPr>
            <b/>
            <sz val="9"/>
            <color indexed="81"/>
            <rFont val="Tahoma"/>
            <family val="2"/>
          </rPr>
          <t>Gunnar Eriksen:</t>
        </r>
        <r>
          <rPr>
            <sz val="9"/>
            <color indexed="81"/>
            <rFont val="Tahoma"/>
            <family val="2"/>
          </rPr>
          <t xml:space="preserve">
I boligblokk og småhus er det krav om enten mekanisk avtrekksventilasjon fra spesielle rom, eventuelt naturlig oppdrift. Fra et baderom var kravet 60 m3/h og fra et kjøkken  var kravet 80 m3/h og fra et felles vaskerom (flere husstander) var kravet 200 m3/h.
Hvis man antar at det i et småhus er to bad og et kjøkken blir luftmengden 200 m3/h. Med et areal på 160 m2 blir luftmengden ca 1,25 m3/h/m2. 
Trond Ivar Bøhn:
Benytter veiledende luftmengde far NS 3031 tabell B1.</t>
        </r>
      </text>
    </comment>
    <comment ref="E128" authorId="1" shapeId="0">
      <text>
        <r>
          <rPr>
            <b/>
            <sz val="9"/>
            <color indexed="81"/>
            <rFont val="Tahoma"/>
            <family val="2"/>
          </rPr>
          <t>Gunnar Eriksen:</t>
        </r>
        <r>
          <rPr>
            <sz val="9"/>
            <color indexed="81"/>
            <rFont val="Tahoma"/>
            <family val="2"/>
          </rPr>
          <t xml:space="preserve">
I en boligblokk blir antagelig prosentandelen av kvadratmetere med rom med krav til ventilasjon større enn småhus. Hvis en typisk leilighet fra den tid er ca 100 m2 og man antar at det er et bad, et kjøkken og 1/5 av et vaskerom blir luftmengden ca 1,6 m3/h/m2. (det er da antatt at blokken har 10 leiligheter og 2 felles vaskerom)
Trond Ivar Bøhn:
Benytter veiledende luftmengde far NS 3031 tabell B1.</t>
        </r>
      </text>
    </comment>
    <comment ref="F128" authorId="0" shapeId="0">
      <text>
        <r>
          <rPr>
            <b/>
            <sz val="8"/>
            <color indexed="81"/>
            <rFont val="Tahoma"/>
            <family val="2"/>
          </rPr>
          <t xml:space="preserve">Gunnar Eriksen:
</t>
        </r>
        <r>
          <rPr>
            <sz val="8"/>
            <color indexed="81"/>
            <rFont val="Tahoma"/>
            <family val="2"/>
          </rPr>
          <t xml:space="preserve">Byggeforskrift </t>
        </r>
        <r>
          <rPr>
            <b/>
            <sz val="8"/>
            <color indexed="81"/>
            <rFont val="Tahoma"/>
            <family val="2"/>
          </rPr>
          <t>1985</t>
        </r>
        <r>
          <rPr>
            <sz val="8"/>
            <color indexed="81"/>
            <rFont val="Tahoma"/>
            <family val="2"/>
          </rPr>
          <t xml:space="preserve"> var en forberedelse til 1987, men inneholdt ingen nye krav til luftmengder i fohold til </t>
        </r>
        <r>
          <rPr>
            <b/>
            <sz val="8"/>
            <color indexed="81"/>
            <rFont val="Tahoma"/>
            <family val="2"/>
          </rPr>
          <t>1969</t>
        </r>
        <r>
          <rPr>
            <sz val="8"/>
            <color indexed="81"/>
            <rFont val="Tahoma"/>
            <family val="2"/>
          </rPr>
          <t xml:space="preserve">.
</t>
        </r>
        <r>
          <rPr>
            <b/>
            <sz val="8"/>
            <color indexed="81"/>
            <rFont val="Tahoma"/>
            <family val="2"/>
          </rPr>
          <t xml:space="preserve">TEK 87: 
</t>
        </r>
        <r>
          <rPr>
            <sz val="8"/>
            <color indexed="81"/>
            <rFont val="Tahoma"/>
            <family val="2"/>
          </rPr>
          <t xml:space="preserve">Her kommer luftmengdekrav omtrent tilsvarende de vi bruker i dag. I </t>
        </r>
        <r>
          <rPr>
            <u/>
            <sz val="8"/>
            <color indexed="81"/>
            <rFont val="Tahoma"/>
            <family val="2"/>
          </rPr>
          <t>veilederen</t>
        </r>
        <r>
          <rPr>
            <sz val="8"/>
            <color indexed="81"/>
            <rFont val="Tahoma"/>
            <family val="2"/>
          </rPr>
          <t xml:space="preserve"> til byggeforskriftene står angitt 1- personbelastning (7 l/s), 2- materialer (0,7 l/s) og 3- spesielle kilder/prosesser.
Det står at 1- kan reduseres ti 4,5 l/s i rom med begrenset brukstid.
Det står også at tallet kan reduseres i rom med mye avbrudd i oppholdstiden, f.eks skoler og barnehager (det gjør vi ikke i dag).
Alt dette er en veiledning og ikke et krav
</t>
        </r>
        <r>
          <rPr>
            <b/>
            <sz val="8"/>
            <color indexed="81"/>
            <rFont val="Tahoma"/>
            <family val="2"/>
          </rPr>
          <t>Arbeidstilsynets veileder best nr 444</t>
        </r>
        <r>
          <rPr>
            <sz val="8"/>
            <color indexed="81"/>
            <rFont val="Tahoma"/>
            <family val="2"/>
          </rPr>
          <t xml:space="preserve">
Gis ut i 1991 og veiledningen fra 1987 blir da i prinsippet et krav. Noe skjerpet i forhold til veileder fra 1987. Viktigt her er at ledd 2 i praksis økes til 1,7 l/s.
</t>
        </r>
      </text>
    </comment>
    <comment ref="K128" authorId="1" shapeId="0">
      <text>
        <r>
          <rPr>
            <b/>
            <sz val="9"/>
            <color indexed="81"/>
            <rFont val="Tahoma"/>
            <family val="2"/>
          </rPr>
          <t>Trond Ivar Bøhn:</t>
        </r>
        <r>
          <rPr>
            <sz val="9"/>
            <color indexed="81"/>
            <rFont val="Tahoma"/>
            <family val="2"/>
          </rPr>
          <t xml:space="preserve">
hhv i og utenfor driftstid</t>
        </r>
      </text>
    </comment>
    <comment ref="L128" authorId="1" shapeId="0">
      <text>
        <r>
          <rPr>
            <b/>
            <sz val="9"/>
            <color indexed="81"/>
            <rFont val="Tahoma"/>
            <family val="2"/>
          </rPr>
          <t>Trond Ivar Bøhn:</t>
        </r>
        <r>
          <rPr>
            <sz val="9"/>
            <color indexed="81"/>
            <rFont val="Tahoma"/>
            <family val="2"/>
          </rPr>
          <t xml:space="preserve">
hhv i og utenfor driftstid</t>
        </r>
      </text>
    </comment>
    <comment ref="C129" authorId="0" shapeId="0">
      <text>
        <r>
          <rPr>
            <b/>
            <sz val="8"/>
            <color indexed="81"/>
            <rFont val="Tahoma"/>
            <family val="2"/>
          </rPr>
          <t>Gunnar Eriksen:</t>
        </r>
        <r>
          <rPr>
            <sz val="8"/>
            <color indexed="81"/>
            <rFont val="Tahoma"/>
            <family val="2"/>
          </rPr>
          <t xml:space="preserve">
NBI blad:
A552.304 «Ventilasjon av småhus» fra 1980 - utgått 1984-1.  I denne står det fint lite om annet enn avtrekksventilasjon. De har ofret noe få linjer helt på slutten om at «hensiktsmessige varmegjenvinnere….. halvparten av energitapet…..», men ut fra dette tror jeg trygt vi kan si at naturlige og mekaniske avtrekksanlegg dominerte.
Tilsvarende blad A552.304 skiftet så navn til «Ventilasjon av småhus - Systemer og komponenter» og var gjeldene fra 1984 til 1994.
Her vies balansert ventilasjon med varmegjenvinning mer plass, men fortsatt er avtrekksanlegg mest omtalt. Det står bl.a at «det ikke kan påvises en slik energigevinst …… Fordelen med balansert ventilasjon er først og fremst trekkfri ….». Dette sett opp mot de to andre hovedsystemene som er naturlig og mekanisk avtrekksventilasjon. 
Det virker fortsatt i 1984 som om mekanisk balansert ventilasjon er noe sært i boligsammenheng.
Ved neste revisjon ser det ut som om det er splittet i to. Den ene har tittelen endret til «Balansert ventilasjon av småhus», NBI nummeret er nå 552.303 og bladet er utgitt i 1995 og gjelder til 2006.
Denne blir så revidert i 2006 og gjelder fortsatt.
Den andre nye er 552.302 «Naturlig og mekanisk ventilasjon av småhus» - utgitt 1994 og fortsatt gjeldene.
Basert på dette vil jeg anta at vi kan hevde at det frem til 90 tallet og vel så det var et overveiende flertall med mekaniske- og naturlige avtrekksanlegg. Fra midt på nittitallet kom så de balanserte systemene inn i større grad, men jeg antar det fortsatt var mye avtrekk. 
Så da sier vi vel at referansebygget har mekanisk avtrekk og 0% gjenvinning.
</t>
        </r>
      </text>
    </comment>
    <comment ref="F129" authorId="0" shapeId="0">
      <text>
        <r>
          <rPr>
            <b/>
            <sz val="8"/>
            <color indexed="81"/>
            <rFont val="Tahoma"/>
            <family val="2"/>
          </rPr>
          <t>Gunnar Eriksen</t>
        </r>
        <r>
          <rPr>
            <sz val="8"/>
            <color indexed="81"/>
            <rFont val="Tahoma"/>
            <family val="2"/>
          </rPr>
          <t xml:space="preserve">
Ingen konkrete krav til gjenvinningsgrad ut over at det skal "vurderes" og "gjøres så effekt- og energiøkonomisk som mulig"
Det er fortsatt ikke krav om varmegjenvinner i ventilasjonsaggregater med de aller fleste installerte likevel fordi det var direkte lønnsomt. Vi antar at det er en blanding av roterende varmegjenvinnere med virkningsgrad 0,75, platevekslere med virkningsgrad 0,6 og batterivekslere med virkningsgrad 0,5
Basert på dette antar vi at en gjennomsnitts varmegjenvinning på 0,6 for kontorbygg.
</t>
        </r>
        <r>
          <rPr>
            <b/>
            <sz val="8"/>
            <color indexed="81"/>
            <rFont val="Tahoma"/>
            <family val="2"/>
          </rPr>
          <t>Trond Ivar Bøhn</t>
        </r>
        <r>
          <rPr>
            <sz val="8"/>
            <color indexed="81"/>
            <rFont val="Tahoma"/>
            <family val="2"/>
          </rPr>
          <t xml:space="preserve">
Må kunne forutsette at eldre bygg etter teknisk levetid skifter ut sitt ventilasjonsanlegg. Vanlig for 69-bygg med en rehab/oppgradering på 80-90-tallet.</t>
        </r>
      </text>
    </comment>
    <comment ref="F130" authorId="0" shapeId="0">
      <text>
        <r>
          <rPr>
            <b/>
            <sz val="8"/>
            <color indexed="81"/>
            <rFont val="Tahoma"/>
            <family val="2"/>
          </rPr>
          <t>Author:</t>
        </r>
        <r>
          <rPr>
            <sz val="8"/>
            <color indexed="81"/>
            <rFont val="Tahoma"/>
            <family val="2"/>
          </rPr>
          <t xml:space="preserve">
Ihht. NS3031 tabell H1 snitt  for regenerativ vgj og rekuparativ vgj
</t>
        </r>
        <r>
          <rPr>
            <b/>
            <sz val="8"/>
            <color indexed="81"/>
            <rFont val="Tahoma"/>
            <family val="2"/>
          </rPr>
          <t>Gunnar Eriksen</t>
        </r>
        <r>
          <rPr>
            <sz val="8"/>
            <color indexed="81"/>
            <rFont val="Tahoma"/>
            <family val="2"/>
          </rPr>
          <t xml:space="preserve">
Som et snitt av roterende og andre vekslere som florerer rundt i bygningsmassen fra denne tiden, bør kanskje tallet settes til f.eks -2.</t>
        </r>
      </text>
    </comment>
    <comment ref="F131" authorId="0" shapeId="0">
      <text>
        <r>
          <rPr>
            <b/>
            <sz val="8"/>
            <color indexed="81"/>
            <rFont val="Tahoma"/>
            <family val="2"/>
          </rPr>
          <t>Gunnar Eriksen:</t>
        </r>
        <r>
          <rPr>
            <sz val="8"/>
            <color indexed="81"/>
            <rFont val="Tahoma"/>
            <family val="2"/>
          </rPr>
          <t xml:space="preserve">
Mange tenkte energisparing da også, men man hadde ikke de samme måltallene som nå. Det var lettere å akseptere et aggregat som var mer presset i størrelse mtp innkjøpspris. Trykktap ifm innregulering og mindre virkningsgrad på viftene spilte nok også inn. Selve kanalanlegget var nok stort sett som nå. Men kunden var også den gang interessert i at driftskostnadene skulle være lave.
</t>
        </r>
        <r>
          <rPr>
            <b/>
            <sz val="8"/>
            <color indexed="81"/>
            <rFont val="Tahoma"/>
            <family val="2"/>
          </rPr>
          <t>Trond Ivar Bøhn:</t>
        </r>
        <r>
          <rPr>
            <sz val="8"/>
            <color indexed="81"/>
            <rFont val="Tahoma"/>
            <family val="2"/>
          </rPr>
          <t xml:space="preserve">
Ref. byggforsk, byggdetaljer 552.335: 
SFP &lt; 2,5 ved nyinstallasjoner i eksisterende bygninger.
SFP &lt; 4,0 ved nyinstallasjoner i eksisterende bygninger med spesielt trange tekniske rom og vanskelige rørføringe.
Som representativ tilstand velges SFP på 4.
Ved utskifting av aggregat antas at man i sitt kommer ned på 3,0 (dvs. velger en "gylden middelvei" mellom 2,5 og 4)
At man ikke kommer ned på 2,0 skyldes at eksisterende kanalnett beholdes, med de begrensninger og ikke-optimale løsninger dette gir.</t>
        </r>
      </text>
    </comment>
    <comment ref="C132" authorId="0" shapeId="0">
      <text>
        <r>
          <rPr>
            <b/>
            <sz val="8"/>
            <color indexed="81"/>
            <rFont val="Tahoma"/>
            <family val="2"/>
          </rPr>
          <t>Author:</t>
        </r>
        <r>
          <rPr>
            <sz val="8"/>
            <color indexed="81"/>
            <rFont val="Tahoma"/>
            <family val="2"/>
          </rPr>
          <t xml:space="preserve">
Må kunne forutsette at også eldre bygg har natt- og helgesenkning</t>
        </r>
      </text>
    </comment>
    <comment ref="F132" authorId="0" shapeId="0">
      <text>
        <r>
          <rPr>
            <b/>
            <sz val="8"/>
            <color indexed="81"/>
            <rFont val="Tahoma"/>
            <family val="2"/>
          </rPr>
          <t>Gunnar Eriksen:</t>
        </r>
        <r>
          <rPr>
            <sz val="8"/>
            <color indexed="81"/>
            <rFont val="Tahoma"/>
            <family val="2"/>
          </rPr>
          <t xml:space="preserve">
Jeg vil tro at en del bygg i denne perioden har nattesenkning.</t>
        </r>
      </text>
    </comment>
    <comment ref="F135" authorId="0" shapeId="0">
      <text>
        <r>
          <rPr>
            <b/>
            <sz val="8"/>
            <color indexed="81"/>
            <rFont val="Tahoma"/>
            <family val="2"/>
          </rPr>
          <t>Author:</t>
        </r>
        <r>
          <rPr>
            <sz val="8"/>
            <color indexed="81"/>
            <rFont val="Tahoma"/>
            <family val="2"/>
          </rPr>
          <t xml:space="preserve">
Antar belysning type lysrørsarmaturer T8 med elektronisk forkobling. For kontorbygger da representativ verdi 10 W/m². Dvs. forholdstall mellom verdier i NS 3031 tabell A1 som representerer T5 med elektronisk forkobling på 8W/m2 (kontorbygg) og dette blir 10/8. Bruker samme forholdstall på øvrige bygningskategorier.</t>
        </r>
      </text>
    </comment>
    <comment ref="F140"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C147" authorId="0" shapeId="0">
      <text>
        <r>
          <rPr>
            <b/>
            <sz val="8"/>
            <color indexed="81"/>
            <rFont val="Tahoma"/>
            <family val="2"/>
          </rPr>
          <t>Author:</t>
        </r>
        <r>
          <rPr>
            <sz val="8"/>
            <color indexed="81"/>
            <rFont val="Tahoma"/>
            <family val="2"/>
          </rPr>
          <t xml:space="preserve">
Må kunne forutsette samme arealandel</t>
        </r>
      </text>
    </comment>
    <comment ref="F147" authorId="0" shapeId="0">
      <text>
        <r>
          <rPr>
            <b/>
            <sz val="8"/>
            <color indexed="81"/>
            <rFont val="Tahoma"/>
            <family val="2"/>
          </rPr>
          <t>Author:</t>
        </r>
        <r>
          <rPr>
            <sz val="8"/>
            <color indexed="81"/>
            <rFont val="Tahoma"/>
            <family val="2"/>
          </rPr>
          <t xml:space="preserve">
Må kunne forutsette samme arealandel</t>
        </r>
      </text>
    </comment>
    <comment ref="C148" authorId="0" shapeId="0">
      <text>
        <r>
          <rPr>
            <b/>
            <sz val="8"/>
            <color indexed="81"/>
            <rFont val="Tahoma"/>
            <family val="2"/>
          </rPr>
          <t>Author:</t>
        </r>
        <r>
          <rPr>
            <sz val="8"/>
            <color indexed="81"/>
            <rFont val="Tahoma"/>
            <family val="2"/>
          </rPr>
          <t xml:space="preserve">
Oslo = Sone 3. 
U-verdi krav for vegg med masse over 100 kg/m2 er 1,04. 
U-verdi krav for Vegg med masse høyst 100 kg/m2 er 0,58.
Småhus: Bindingsverk med 100mm isolasjon, U-verdi 0,40. (BDB 471.012.)
Boligblokk: Typisk massiv mur eller betong med treullsement eller lettbetong. U-verdi 0,70.
Dette var vanlig byggemåte og isolasjonsstandard ikke bare fom. TE69 men i iallefalll også 10 år før.
Med dette vises at vanlig bygge- og isolasjonsstandard på den tiden var bedre enn forskriftskravene. Forskriftskravene var meget konservative og ble satt lavt bla. for å ikke ekskludere enkelte løsninger og dermed materialleverandører.
</t>
        </r>
      </text>
    </comment>
    <comment ref="F148" authorId="0" shapeId="0">
      <text>
        <r>
          <rPr>
            <b/>
            <sz val="8"/>
            <color indexed="81"/>
            <rFont val="Tahoma"/>
            <family val="2"/>
          </rPr>
          <t>Author:</t>
        </r>
        <r>
          <rPr>
            <sz val="8"/>
            <color indexed="81"/>
            <rFont val="Tahoma"/>
            <family val="2"/>
          </rPr>
          <t xml:space="preserve">
Oslo = Sone 3. 
U-verdi krav for vegg med masse over 100 kg/m2 er 1,04. 
U-verdi krav for Vegg med masse høyst 100 kg/m2 er 0,58.
De fleste næringsbygg: Typisk massiv mur eller betong med treullsement eller lettbetong. U-verdi 0,70.
Mange bygg også oppført i lette trekonstruksjoner med yttervegger av 100mm bindingsverk, typisk U-verdi 0,40. Antar dette for barnehage og sykehjem, da disse to bygningskategoriene også i gjennomsnitt er nyere. 
Dette var vanlig byggemåte og isolasjonsstandard ikke bare fom. TE69 men i iallefalll også 10 år før.
Med dette vises at vanlig bygge- og isolasjonsstandard på den tiden var bedre enn forskriftskravene. Forskriftskravene var meget konservative og ble satt lavt bla. for å ikke ekskludere enkelte løsninger og dermed materialleverandører.
</t>
        </r>
      </text>
    </comment>
    <comment ref="C149" authorId="0" shapeId="0">
      <text>
        <r>
          <rPr>
            <b/>
            <sz val="8"/>
            <color indexed="81"/>
            <rFont val="Tahoma"/>
            <family val="2"/>
          </rPr>
          <t>Author:</t>
        </r>
        <r>
          <rPr>
            <sz val="8"/>
            <color indexed="81"/>
            <rFont val="Tahoma"/>
            <family val="2"/>
          </rPr>
          <t xml:space="preserve">
Oslo = Sone 3. 
U-verdi krav gulv mot det fri 0,46.
Representativ U-verdi for de fleste bygg i perioden er ca 0,3.
Gulv på grunn, 5 cm isolasjon, U-verdi 0,30.
Det var også vanlig med trebjelkelag eller betongkonstruksjoner med 150mm isolasjon som gav U-verdi ca 0,3. 
Med dette vises at vanlig bygge- og isolasjonsstandard på den tiden var vesentlig bedre enn forskriftskravene. 
</t>
        </r>
      </text>
    </comment>
    <comment ref="F149" authorId="0" shapeId="0">
      <text>
        <r>
          <rPr>
            <b/>
            <sz val="8"/>
            <color indexed="81"/>
            <rFont val="Tahoma"/>
            <family val="2"/>
          </rPr>
          <t>Author:</t>
        </r>
        <r>
          <rPr>
            <sz val="8"/>
            <color indexed="81"/>
            <rFont val="Tahoma"/>
            <family val="2"/>
          </rPr>
          <t xml:space="preserve">
Oslo = Sone 3. 
U-verdi krav gulv mot det fri 0,46.
Representativ U-verdi for de fleste bygg i perioden er ca 0,3.
Gulv på grunn, 5 cm isolasjon, U-verdi 0,30.
Det var også vanlig med trebjelkelag eller betongkonstruksjoner med 150mm isolasjon som gav U-verdi ca 0,3. 
Med dette vises at vanlig bygge- og isolasjonsstandard på den tiden var vesentlig bedre enn forskriftskravene. 
</t>
        </r>
      </text>
    </comment>
    <comment ref="C150" authorId="0" shapeId="0">
      <text>
        <r>
          <rPr>
            <b/>
            <sz val="8"/>
            <color indexed="81"/>
            <rFont val="Tahoma"/>
            <family val="2"/>
          </rPr>
          <t>Author:</t>
        </r>
        <r>
          <rPr>
            <sz val="8"/>
            <color indexed="81"/>
            <rFont val="Tahoma"/>
            <family val="2"/>
          </rPr>
          <t xml:space="preserve">
Oslo = Sone 3. 
U-verdi krav for trekonstruksjon er 0,46 og for andre konstruksjoner 0,58. 
Småhus: Tretak hvor det sjelden ble lagt mindre enn 150mm isolasjon, U-verdi rett i underkant av 0,3. 
Boligblokk: Kompakttak, 100mm skumplastisolasjon, U-verdi ca 0,35.
Dette var vanlig byggemåte og isolasjonsstandard ikke bare fom. TE69 men i allefalll også 10 år før.
Med dette vises at vanlig bygge- og isolasjonsstandard på den tiden var vesentlig bedre enn forskriftskravene. Forskriftskravene var meget konservative og ble satt lavt bla. for å ikke ekskludere enkelte løsninger og dermed materialleverandører.</t>
        </r>
      </text>
    </comment>
    <comment ref="F150" authorId="0" shapeId="0">
      <text>
        <r>
          <rPr>
            <b/>
            <sz val="8"/>
            <color indexed="81"/>
            <rFont val="Tahoma"/>
            <family val="2"/>
          </rPr>
          <t>Author:</t>
        </r>
        <r>
          <rPr>
            <sz val="8"/>
            <color indexed="81"/>
            <rFont val="Tahoma"/>
            <family val="2"/>
          </rPr>
          <t xml:space="preserve">
Oslo = Sone 3. 
U-verdi krav for trekonstruksjon 0,46 og andre konstruksjoner 0,58.
Representativ U-verdi for de fleste bygg i perioden er ca 0,35.
Mange bygg med flate tak, type kompakttak hvor det ble lagt 100mm skumplast isolasjon, U-verdi ca 0,35. 
For barnehage og sykehjem (fordi disse to bygningskategoriene også i gjennomsnitt er nyere) antas tretak med 150mm isolasjon, U-verdi rett i underkant av 0,3.
For idrettsbygg var det imidlertid vanlig med noe dårligere isolasjonsstandard. Representativ U-verdi er ca lik forskriftskravet på 0,58. Vanlig med leca med 3-5 cm isolasjon eller gassbetongtak uten ekstra isolasjon.
Dette var vanlig byggemåte og isolasjonsstandard ikke bare fom. TE69 men i allefalll også 10 år før.
Med dette vises at vanlig bygge- og isolasjonsstandard på den tiden var vesentlig bedre enn forskriftskravene. Forskriftskravene var meget konservative og ble satt lavt bla. for å ikke ekskludere enkelte løsninger og dermed materialleverandører.
</t>
        </r>
      </text>
    </comment>
    <comment ref="C151" authorId="0" shapeId="0">
      <text>
        <r>
          <rPr>
            <b/>
            <sz val="8"/>
            <color indexed="81"/>
            <rFont val="Tahoma"/>
            <family val="2"/>
          </rPr>
          <t>Author:</t>
        </r>
        <r>
          <rPr>
            <sz val="8"/>
            <color indexed="81"/>
            <rFont val="Tahoma"/>
            <family val="2"/>
          </rPr>
          <t xml:space="preserve">
Konservativ verdi er 2,80 for isolerglassrute dvs. dobbelt glass, luftfylt, forseglet.
</t>
        </r>
      </text>
    </comment>
    <comment ref="F151" authorId="0" shapeId="0">
      <text>
        <r>
          <rPr>
            <b/>
            <sz val="8"/>
            <color indexed="81"/>
            <rFont val="Tahoma"/>
            <family val="2"/>
          </rPr>
          <t>Author:</t>
        </r>
        <r>
          <rPr>
            <sz val="8"/>
            <color indexed="81"/>
            <rFont val="Tahoma"/>
            <family val="2"/>
          </rPr>
          <t xml:space="preserve">
Konservativ verdi er 2,80 for isolerglassrute dvs. dobbelt glass, luftfylt, forseglet.
</t>
        </r>
      </text>
    </comment>
    <comment ref="C152"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F152" authorId="2" shapeId="0">
      <text>
        <r>
          <rPr>
            <b/>
            <sz val="8"/>
            <color indexed="81"/>
            <rFont val="Tahoma"/>
            <family val="2"/>
          </rPr>
          <t>Forfatter:</t>
        </r>
        <r>
          <rPr>
            <sz val="8"/>
            <color indexed="81"/>
            <rFont val="Tahoma"/>
            <family val="2"/>
          </rPr>
          <t xml:space="preserve">
Barnehage og sykehjem: 0,05
Øvrige: 0,12
Benytter standardverdier hentet fra NS3031 tabell A4. Barnehage antas ha bæresystem i tre. Øvrige antas ha bæresystem i betong, mur eller stål og 5 cm kuldebrobryter i fasadene. (10cm kuldebrobryter var ikke vanlig tidligere.) Egentlig er U-verdi krav i datidens TEK gitt  inkl./medregnet kuldebroer, men dette ble i praksis ikke fulgt. 
</t>
        </r>
      </text>
    </comment>
    <comment ref="C153"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1985 og 1969: 1,5. Gjelder bla. boligblokk. Men i likhet med yrkesbyggene; øker lekkasjetallet fra 1,5 til 2,5 for alle bygningskategorier over 2 etasjer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NS3031 tabell B3:
- Anbefalt nivå for småhus i byggeforskriften av 1997: 4,0.
- Anbefalt nivå for alle bygningskategorier (bortsett fra småhus) over 2 etasjer i byggeforskrifter av 1985 og 1969: 1,5. Gjelder bla. boligblokk.
Kommentar: Erik Aalgaard mener foreslåtte verdier i NS 3031 er for gode.
Vindusinnsetting: kun dytt og list, ikke fuge. Boligblokk - lette konstruksjoner, betongskiver med bindingsverk mellom. Kontorbygg ofte metallkledninger. 
Bygget etter NBI anvisninger.
Verdier er forslag fra Erik Algaard. </t>
        </r>
      </text>
    </comment>
    <comment ref="F153" authorId="0" shapeId="0">
      <text>
        <r>
          <rPr>
            <b/>
            <sz val="9"/>
            <color indexed="81"/>
            <rFont val="Tahoma"/>
            <family val="2"/>
          </rPr>
          <t>Author:</t>
        </r>
        <r>
          <rPr>
            <sz val="9"/>
            <color indexed="81"/>
            <rFont val="Tahoma"/>
            <family val="2"/>
          </rPr>
          <t xml:space="preserve">
Legger oss på samme nivå som for TEK97 og TEK87 hva gjelder bygningskategorier inntil 2 etasjer, dvs. lekkasjetall 3,0 for barnehage, Skole, Sykehjem, Hotell, Idrettsbygg, Kulturbygg.
Øker lekkasjetallet fra 1,5 til 2,5 for alle bygningskategorier over 2 etasjer: Kontorbygg, Universitet, Sykehus og Forretningsbygg.
</t>
        </r>
      </text>
    </comment>
    <comment ref="D154" authorId="1" shapeId="0">
      <text>
        <r>
          <rPr>
            <b/>
            <sz val="9"/>
            <color indexed="81"/>
            <rFont val="Tahoma"/>
            <family val="2"/>
          </rPr>
          <t>Gunnar Eriksen:</t>
        </r>
        <r>
          <rPr>
            <sz val="9"/>
            <color indexed="81"/>
            <rFont val="Tahoma"/>
            <family val="2"/>
          </rPr>
          <t xml:space="preserve">
I boligblokk og småhus er det krav om enten mekanisk avtrekksventilasjon fra spesielle rom, eventuelt naturlig oppdrift. Fra et baderom var kravet 60 m3/h og fra et kjøkken  var kravet 80 m3/h og fra et felles vaskerom (flere husstander) var kravet 200 m3/h.
Hvis man antar at det i et småhus er to bad og et kjøkken blir luftmengden 200 m3/h. Med et areal på 160 m2 blir luftmengden ca 1,25 m3/h/m2. 
Trond Ivar Bøhn:
Benytter veiledende luftmengde far NS 3031 tabell B1.</t>
        </r>
      </text>
    </comment>
    <comment ref="E154" authorId="1" shapeId="0">
      <text>
        <r>
          <rPr>
            <b/>
            <sz val="9"/>
            <color indexed="81"/>
            <rFont val="Tahoma"/>
            <family val="2"/>
          </rPr>
          <t>Gunnar Eriksen:</t>
        </r>
        <r>
          <rPr>
            <sz val="9"/>
            <color indexed="81"/>
            <rFont val="Tahoma"/>
            <family val="2"/>
          </rPr>
          <t xml:space="preserve">
I en boligblokk blir antagelig prosentandelen av kvadratmetere med rom med krav til ventilasjon større enn småhus. Hvis en typisk leilighet fra den tid er ca 100 m2 og man antar at det er et bad, et kjøkken og 1/5 av et vaskerom blir luftmengden ca 1,6 m3/h/m2. (det er da antatt at blokken har 10 leiligheter og 2 felles vaskerom)
Trond Ivar Bøhn:
Benytter veiledende luftmengde far NS 3031 tabell B1.</t>
        </r>
      </text>
    </comment>
    <comment ref="F154" authorId="0" shapeId="0">
      <text>
        <r>
          <rPr>
            <b/>
            <sz val="8"/>
            <color indexed="81"/>
            <rFont val="Tahoma"/>
            <family val="2"/>
          </rPr>
          <t>Gunnar Eriksen :</t>
        </r>
        <r>
          <rPr>
            <sz val="8"/>
            <color indexed="81"/>
            <rFont val="Tahoma"/>
            <family val="2"/>
          </rPr>
          <t xml:space="preserve"> 
I TEK 69 er luftmengdekravene definert som en fast verdi pr m2 for kontorer.
Verdiene er 
5 m3/h/m2 for kontorer, 
10 m3/h/m2 for forsamlingslokaler (møterom) 
kjerneområder og kontorer har ikke spesifisert krav (venterom  3 m3/h/m2)
Basert på dette antar vi at en gjennomsnittsverdi er 5 m3/h/m2 for kontorbygg.</t>
        </r>
        <r>
          <rPr>
            <b/>
            <sz val="8"/>
            <color indexed="81"/>
            <rFont val="Tahoma"/>
            <family val="2"/>
          </rPr>
          <t xml:space="preserve">
</t>
        </r>
        <r>
          <rPr>
            <sz val="8"/>
            <color indexed="81"/>
            <rFont val="Tahoma"/>
            <family val="2"/>
          </rPr>
          <t xml:space="preserve">
Krav i byggeforskrift av 1969. Ikke alle kategorier er angitt i 1969, så vi vurderer nåværendekategori der det ikke er angitt kategorier i 1969
</t>
        </r>
        <r>
          <rPr>
            <b/>
            <sz val="8"/>
            <color indexed="81"/>
            <rFont val="Tahoma"/>
            <family val="2"/>
          </rPr>
          <t>Trond Ivar Bøhn:</t>
        </r>
        <r>
          <rPr>
            <sz val="8"/>
            <color indexed="81"/>
            <rFont val="Tahoma"/>
            <family val="2"/>
          </rPr>
          <t xml:space="preserve">
Setter luftmengde utenfor driftstid lik minimumsluftmengden iht. NS3031 tabell A6 som stemmer bra ift. kravet for kontorbygg, og antar dette også for øvrige bygningskategorier. 
Luftmengden utenfor driftstid trenger ikke bety kontinuerlig drift med denne luftmengden, men kan være oppstart av ventilasjonen tidligere og stans senere enn den standardiserte driftstiden.</t>
        </r>
      </text>
    </comment>
    <comment ref="K154" authorId="1" shapeId="0">
      <text>
        <r>
          <rPr>
            <b/>
            <sz val="9"/>
            <color indexed="81"/>
            <rFont val="Tahoma"/>
            <family val="2"/>
          </rPr>
          <t>Trond Ivar Bøhn:</t>
        </r>
        <r>
          <rPr>
            <sz val="9"/>
            <color indexed="81"/>
            <rFont val="Tahoma"/>
            <family val="2"/>
          </rPr>
          <t xml:space="preserve">
hhv i og utenfor driftstid</t>
        </r>
      </text>
    </comment>
    <comment ref="L154" authorId="1" shapeId="0">
      <text>
        <r>
          <rPr>
            <b/>
            <sz val="9"/>
            <color indexed="81"/>
            <rFont val="Tahoma"/>
            <family val="2"/>
          </rPr>
          <t>Trond Ivar Bøhn:</t>
        </r>
        <r>
          <rPr>
            <sz val="9"/>
            <color indexed="81"/>
            <rFont val="Tahoma"/>
            <family val="2"/>
          </rPr>
          <t xml:space="preserve">
hhv i og utenfor driftstid
</t>
        </r>
      </text>
    </comment>
    <comment ref="C155"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F155" authorId="0" shapeId="0">
      <text>
        <r>
          <rPr>
            <b/>
            <sz val="8"/>
            <color indexed="81"/>
            <rFont val="Tahoma"/>
            <family val="2"/>
          </rPr>
          <t>Gunnar Eriksen:</t>
        </r>
        <r>
          <rPr>
            <sz val="8"/>
            <color indexed="81"/>
            <rFont val="Tahoma"/>
            <family val="2"/>
          </rPr>
          <t xml:space="preserve">
Det er ingen krav til varmegjenvinning på ventilasjon. Vanlig med mekanisk avtrekk og friskluft ubehandlet inn via spalter i forbindelse med panelovn eller radiator.
Slike anlegg har 0% gjenvinning
</t>
        </r>
      </text>
    </comment>
    <comment ref="F157" authorId="0" shapeId="0">
      <text>
        <r>
          <rPr>
            <b/>
            <sz val="8"/>
            <color indexed="81"/>
            <rFont val="Tahoma"/>
            <family val="2"/>
          </rPr>
          <t>Author:</t>
        </r>
        <r>
          <rPr>
            <sz val="8"/>
            <color indexed="81"/>
            <rFont val="Tahoma"/>
            <family val="2"/>
          </rPr>
          <t xml:space="preserve">
Et typisk «aggregat» som tilfredsstiller TEK 69 besto egentlig bare av en avtrekksvifte og et relativt enkelt avtrekks kanalsystem. Tilluftsdelen besto av da bare av en spalt under vinduet slik at uteluften ble varmet opp av panelovn eller radiator. SFP verdien må derfor vurderes ut fra at kanalanlegg og aggregatmotstand bare er halvparten av et moderne anlegg, og at viften naturligvis er mindre effektive. 
Basert på dette kan en anta at SFP faktoren er 2,0. </t>
        </r>
      </text>
    </comment>
    <comment ref="C15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F158"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F161" authorId="0" shapeId="0">
      <text>
        <r>
          <rPr>
            <b/>
            <sz val="8"/>
            <color indexed="81"/>
            <rFont val="Tahoma"/>
            <family val="2"/>
          </rPr>
          <t>Author:</t>
        </r>
        <r>
          <rPr>
            <sz val="8"/>
            <color indexed="81"/>
            <rFont val="Tahoma"/>
            <family val="2"/>
          </rPr>
          <t xml:space="preserve">
Antar belysning type lysrørsarmaturer T8 med mekanisk forkobling. For kontorbygger da representativ verdi 12 W/m². Dvs. forholdstall mellom verdier i NS 3031 tabell A1 som representerer T5 med elektronisk forkobling på 8W/m2 (kontorbygg) og dette blir 12/8. Bruker samme forholdstall på øvrige bygningskategorier.
OBS: dette tallet vil også forandre seg utfra type rom i bygget. Er det store arealer med kontorlandskap og cellekontorer, vil tallet bli høyere enn om det er store arealer med underliggende rom som lager osv. Hva et typisk kontorbygg består i av typiske arealer kan variere. Derfor har vi også en enda høyere belysningseffekt (og annen referanse) for "TEK49" og "Eldre"</t>
        </r>
      </text>
    </comment>
    <comment ref="F166"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C173" authorId="0" shapeId="0">
      <text>
        <r>
          <rPr>
            <b/>
            <sz val="8"/>
            <color indexed="81"/>
            <rFont val="Tahoma"/>
            <family val="2"/>
          </rPr>
          <t>Author:</t>
        </r>
        <r>
          <rPr>
            <sz val="8"/>
            <color indexed="81"/>
            <rFont val="Tahoma"/>
            <family val="2"/>
          </rPr>
          <t xml:space="preserve">
Må kunne forutsette samme arealandel</t>
        </r>
      </text>
    </comment>
    <comment ref="F173" authorId="0" shapeId="0">
      <text>
        <r>
          <rPr>
            <b/>
            <sz val="8"/>
            <color indexed="81"/>
            <rFont val="Tahoma"/>
            <family val="2"/>
          </rPr>
          <t>Author:</t>
        </r>
        <r>
          <rPr>
            <sz val="8"/>
            <color indexed="81"/>
            <rFont val="Tahoma"/>
            <family val="2"/>
          </rPr>
          <t xml:space="preserve">
Må kunne forutsette samme arealandel</t>
        </r>
      </text>
    </comment>
    <comment ref="C174" authorId="0" shapeId="0">
      <text>
        <r>
          <rPr>
            <b/>
            <sz val="9"/>
            <color indexed="81"/>
            <rFont val="Tahoma"/>
            <family val="2"/>
          </rPr>
          <t>Author:</t>
        </r>
        <r>
          <rPr>
            <sz val="9"/>
            <color indexed="81"/>
            <rFont val="Tahoma"/>
            <family val="2"/>
          </rPr>
          <t xml:space="preserve">
Oslo = Sone 3.  
U-verdi krav 1,05 for bygninger av mur/brannfast. 0,81 for trebygninger.
Småhus: Lett bindingsverk, 48x98 stender, 100mm min. ull, U-verdi 0,50. Referanse: 723.511
Boligblokk: 
betong, 100mm porebetong, U-verdi 0,96. Referanse: 723.312</t>
        </r>
      </text>
    </comment>
    <comment ref="F174" authorId="0" shapeId="0">
      <text>
        <r>
          <rPr>
            <b/>
            <sz val="9"/>
            <color indexed="81"/>
            <rFont val="Tahoma"/>
            <family val="2"/>
          </rPr>
          <t>Author:</t>
        </r>
        <r>
          <rPr>
            <sz val="9"/>
            <color indexed="81"/>
            <rFont val="Tahoma"/>
            <family val="2"/>
          </rPr>
          <t xml:space="preserve">
Oslo = Sone 3. 
U-verdi krav 1,05 for bygninger av mur/brannfast. 0,81 for trebygninger.
De fleste yrkesbygg antas som for boligblokk: 
Betong, 100mm porebetong, U-verdi 0,96. Referanse: 723.312
Alternativt: Massive murvegger eller betong med faststøpt 75mm treullsement eller lettbetong.
Barnehage og sykehjem antas som for småhus: Lett bindingsverk, 48x98 stender, 100mm min. ull, U-verdi 0,50. Referanse: 723.511
</t>
        </r>
      </text>
    </comment>
    <comment ref="C175" authorId="0" shapeId="0">
      <text>
        <r>
          <rPr>
            <b/>
            <sz val="9"/>
            <color indexed="81"/>
            <rFont val="Tahoma"/>
            <family val="2"/>
          </rPr>
          <t>Author:</t>
        </r>
        <r>
          <rPr>
            <sz val="9"/>
            <color indexed="81"/>
            <rFont val="Tahoma"/>
            <family val="2"/>
          </rPr>
          <t xml:space="preserve">
Gulv på grunn ble aldri isolert. Men gulv på grunn eller mot kjeller gav jo god varmemotstand. Antar representativt gulv mot uoppvarmet kjeller. 
Småhus: 48x198 just, 100mm min. ull, U-verdi konstruksjon 0,35. Effektiv U-verdi 0,28. Referanse 471.011 / 471.009
Boligblokk: Betonggulv, 50mm min. ull, U-verdi konstruksjon 0,57. Effektiv U-verdi 0,38. Referanse 722.506 / 471.009</t>
        </r>
      </text>
    </comment>
    <comment ref="F175" authorId="0" shapeId="0">
      <text>
        <r>
          <rPr>
            <b/>
            <sz val="9"/>
            <color indexed="81"/>
            <rFont val="Tahoma"/>
            <family val="2"/>
          </rPr>
          <t>Author:</t>
        </r>
        <r>
          <rPr>
            <sz val="9"/>
            <color indexed="81"/>
            <rFont val="Tahoma"/>
            <family val="2"/>
          </rPr>
          <t xml:space="preserve">
Regneeksempel:
Gulv på grunn med u-verdi konstr.=3, dybde under terreng=0 m, grunnforhold fjell og grunnflate=150 m2 har total u-verdi ca 0,8 W/m2K
Tilsvarende med dybde under terreng = 1,5 m har u-verdi = ca 0,4 W/m2k.
Beregninger gjennomført i SIMIEN
På bakgrunn av dette settes gjennomsnittlig u-verdi for yrkesbygg eldre enn 1969 til 0,6 W/m2K, med antagelse om at det ikke ble brukt markisolasjon i kontruksjonen.</t>
        </r>
      </text>
    </comment>
    <comment ref="C176" authorId="0" shapeId="0">
      <text>
        <r>
          <rPr>
            <b/>
            <sz val="9"/>
            <color indexed="81"/>
            <rFont val="Tahoma"/>
            <family val="2"/>
          </rPr>
          <t>Author:</t>
        </r>
        <r>
          <rPr>
            <sz val="9"/>
            <color indexed="81"/>
            <rFont val="Tahoma"/>
            <family val="2"/>
          </rPr>
          <t xml:space="preserve">
Oslo = Sone 3. 
U-verdi krav på 0,81
Småhus: Kaldtloft. 48x198mm bjelker, 100mm min. ull. U-verdi konstruksjon 0,35. Effektiv U-verdi 0,33. Referanse 722.506 / 471.008
Boligblokk: Kaldtloft. Betonggulv, 100mm min. ull. U-verdi konstruksjon 0,35. Effektiv U-verdi 0,33. Referanse 722.506 / 471.008</t>
        </r>
      </text>
    </comment>
    <comment ref="F176" authorId="0" shapeId="0">
      <text>
        <r>
          <rPr>
            <b/>
            <sz val="9"/>
            <color indexed="81"/>
            <rFont val="Tahoma"/>
            <family val="2"/>
          </rPr>
          <t>Author:</t>
        </r>
        <r>
          <rPr>
            <sz val="9"/>
            <color indexed="81"/>
            <rFont val="Tahoma"/>
            <family val="2"/>
          </rPr>
          <t xml:space="preserve">
Oslo = Sone 3. 
U-verdi krav på 0,81 kan sies å være representativt for perioden.</t>
        </r>
      </text>
    </comment>
    <comment ref="C177" authorId="0" shapeId="0">
      <text>
        <r>
          <rPr>
            <b/>
            <sz val="9"/>
            <color indexed="81"/>
            <rFont val="Tahoma"/>
            <family val="2"/>
          </rPr>
          <t>Author:</t>
        </r>
        <r>
          <rPr>
            <sz val="9"/>
            <color indexed="81"/>
            <rFont val="Tahoma"/>
            <family val="2"/>
          </rPr>
          <t xml:space="preserve">
Vanlig med dobble vinduer fra ca 1900.</t>
        </r>
      </text>
    </comment>
    <comment ref="F177" authorId="0" shapeId="0">
      <text>
        <r>
          <rPr>
            <b/>
            <sz val="8"/>
            <color indexed="81"/>
            <rFont val="Tahoma"/>
            <family val="2"/>
          </rPr>
          <t>Author:</t>
        </r>
        <r>
          <rPr>
            <sz val="8"/>
            <color indexed="81"/>
            <rFont val="Tahoma"/>
            <family val="2"/>
          </rPr>
          <t xml:space="preserve">
Dobble glass.</t>
        </r>
      </text>
    </comment>
    <comment ref="C178"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F178" authorId="0" shapeId="0">
      <text>
        <r>
          <rPr>
            <b/>
            <sz val="8"/>
            <color indexed="81"/>
            <rFont val="Tahoma"/>
            <family val="2"/>
          </rPr>
          <t>Author:</t>
        </r>
        <r>
          <rPr>
            <sz val="8"/>
            <color indexed="81"/>
            <rFont val="Tahoma"/>
            <family val="2"/>
          </rPr>
          <t xml:space="preserve">
Barnehage og sykehjem: 0,04
Øvrige: 0,08
Siden U-verdiene på konstruksjonen er dårligere (i større grad at hele konstruksjonen i seg selv er en kuldebro) blir normalisert kuldebroverdi mindre. Barnehage antas ha bæresystem i tre. Øvrige antas ha bæresystem i mur/tegl som representativt.  
 </t>
        </r>
      </text>
    </comment>
    <comment ref="C179"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1985 og 1969: 1,5. Gjelder bla. boligblokk. Men i likhet med yrkesbyggene; øker lekkasjetallet fra 1,5 til 2,5 for alle bygningskategorier over 2 etasjer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NS3031 tabell B3:
- Anbefalt nivå for småhus i byggeforskriften av 1997: 4,0.
- Anbefalt nivå for alle bygningskategorier (bortsett fra småhus) over 2 etasjer i byggeforskrifter av 1985 og 1969: 1,5. Gjelder bla. boligblokk.
Kommentar: Erik Aalgaard mener foreslåtte verdier i NS 3031 er for gode.
Vindusinnsetting: kun dytt og list, ikke fuge. Boligblokk - lette konstruksjoner, betongskiver med bindingsverk mellom. Kontorbygg ofte metallkledninger. 
Bygget etter NBI anvisninger.
Verdier er forslag fra Erik Algaard. </t>
        </r>
      </text>
    </comment>
    <comment ref="F179" authorId="0" shapeId="0">
      <text>
        <r>
          <rPr>
            <b/>
            <sz val="9"/>
            <color indexed="81"/>
            <rFont val="Tahoma"/>
            <family val="2"/>
          </rPr>
          <t>Author:</t>
        </r>
        <r>
          <rPr>
            <sz val="9"/>
            <color indexed="81"/>
            <rFont val="Tahoma"/>
            <family val="2"/>
          </rPr>
          <t xml:space="preserve">
Legger oss på samme nivå som for TEK97 og TEK87 hva gjelder bygningskategorier inntil 2 etasjer, dvs. lekkasjetall 3,0 for barnehage, Skole, Sykehjem, Hotell, Idrettsbygg, Kulturbygg og Industri/verksted.
Øker lekkasjetallet fra 1,5 til 2,5 for alle bygningskategorier over 2 etasjer: Kontorbygg, Universitet, Sykehus og Forretningsbygg.
</t>
        </r>
      </text>
    </comment>
    <comment ref="D180" authorId="1" shapeId="0">
      <text>
        <r>
          <rPr>
            <b/>
            <sz val="9"/>
            <color indexed="81"/>
            <rFont val="Tahoma"/>
            <family val="2"/>
          </rPr>
          <t>Gunnar Eriksen:</t>
        </r>
        <r>
          <rPr>
            <sz val="9"/>
            <color indexed="81"/>
            <rFont val="Tahoma"/>
            <family val="2"/>
          </rPr>
          <t xml:space="preserve">
I boligblokk og småhus er det krav om enten mekanisk avtrekksventilasjon fra spesielle rom, eventuelt naturlig oppdrift. Fra et baderom var kravet 60 m3/h og fra et kjøkken  var kravet 80 m3/h og fra et felles vaskerom (flere husstander) var kravet 200 m3/h.
Hvis man antar at det i et småhus er to bad og et kjøkken blir luftmengden 200 m3/h. Med et areal på 160 m2 blir luftmengden ca 1,25 m3/h/m2. 
Trond Ivar Bøhn:
Benytter veiledende luftmengde far NS 3031 tabell B1.</t>
        </r>
      </text>
    </comment>
    <comment ref="E180" authorId="1" shapeId="0">
      <text>
        <r>
          <rPr>
            <b/>
            <sz val="9"/>
            <color indexed="81"/>
            <rFont val="Tahoma"/>
            <family val="2"/>
          </rPr>
          <t>Gunnar Eriksen:</t>
        </r>
        <r>
          <rPr>
            <sz val="9"/>
            <color indexed="81"/>
            <rFont val="Tahoma"/>
            <family val="2"/>
          </rPr>
          <t xml:space="preserve">
I en boligblokk blir antagelig prosentandelen av kvadratmetere med rom med krav til ventilasjon større enn småhus. Hvis en typisk leilighet fra den tid er ca 100 m2 og man antar at det er et bad, et kjøkken og 1/5 av et vaskerom blir luftmengden ca 1,6 m3/h/m2. (det er da antatt at blokken har 10 leiligheter og 2 felles vaskerom)
Trond Ivar Bøhn:
Benytter veiledende luftmengde far NS 3031 tabell B1.</t>
        </r>
      </text>
    </comment>
    <comment ref="F180" authorId="0" shapeId="0">
      <text>
        <r>
          <rPr>
            <b/>
            <sz val="8"/>
            <color indexed="81"/>
            <rFont val="Tahoma"/>
            <family val="2"/>
          </rPr>
          <t>Gunnar Eriksen:</t>
        </r>
        <r>
          <rPr>
            <sz val="8"/>
            <color indexed="81"/>
            <rFont val="Tahoma"/>
            <family val="2"/>
          </rPr>
          <t xml:space="preserve">
Byggeforskriften har INGEN krav til avtrekk og friskluftsmengde. Kun krav til hvordan ventilasjonspiper og -kanaler skal være utformet.
Vanlig med naturlige ventilasjonsanlegg.
Antar 2-3 m3/h pr m2 vil være representativt.
Tidlige svenske normer beskrev relativt høye luftmengder, også i dagens målestokk. Ref "VVS Handboken" fra 1963.
Her kan man kanskje konsuldere ennå eldre medarbeidere som har "opplevd" denne perioden.</t>
        </r>
      </text>
    </comment>
    <comment ref="C181"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F181" authorId="0" shapeId="0">
      <text>
        <r>
          <rPr>
            <b/>
            <sz val="8"/>
            <color indexed="81"/>
            <rFont val="Tahoma"/>
            <family val="2"/>
          </rPr>
          <t>Gunnar Eriksen:</t>
        </r>
        <r>
          <rPr>
            <sz val="8"/>
            <color indexed="81"/>
            <rFont val="Tahoma"/>
            <family val="2"/>
          </rPr>
          <t xml:space="preserve">
Det er INGEN krav til varmegjenvinning på ventilasjon. Vanlig med mekanisk avtrekk og friskluft ubehandlet inn via spalter i forbindelse med panelovn eller radiator.
Slike anlegg har 0% gjenvinning</t>
        </r>
      </text>
    </comment>
    <comment ref="C184"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F184"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F185" authorId="0" shapeId="0">
      <text>
        <r>
          <rPr>
            <b/>
            <sz val="8"/>
            <color indexed="81"/>
            <rFont val="Tahoma"/>
            <family val="2"/>
          </rPr>
          <t>Author:</t>
        </r>
        <r>
          <rPr>
            <sz val="8"/>
            <color indexed="81"/>
            <rFont val="Tahoma"/>
            <family val="2"/>
          </rPr>
          <t xml:space="preserve">
Men:
Må kunne forutsette at også eldre bygg med kjølebehov har solavskjerming. PS: Installasjon av automatisk utvendig solavskjerming på bygg som ikke har dette fra før er ikke ensbetydende med reduksjon i energiforbruket, fordi man mister varmetiskudd i vinterhalvåret. Simuleringer i SIMIEN takler i det hele tatt dette dårlig.</t>
        </r>
      </text>
    </comment>
    <comment ref="F187" authorId="0" shapeId="0">
      <text>
        <r>
          <rPr>
            <b/>
            <sz val="8"/>
            <color indexed="81"/>
            <rFont val="Tahoma"/>
            <family val="2"/>
          </rPr>
          <t>Author:</t>
        </r>
        <r>
          <rPr>
            <sz val="8"/>
            <color indexed="81"/>
            <rFont val="Tahoma"/>
            <family val="2"/>
          </rPr>
          <t xml:space="preserve">
Bruker for middels gamle og eldre bygg standardverdi iht. NS3031 tabell A1 ganget med 15/8-deler. Dette tilsvarer forholdet mellom eldre belysning typisk T8 lysrørsarmaturer med mekanisk forkobling kontra nyere belysning typisk T5 lysrørsarmaturer med elektronisk forkobling. Referanse: Sintef Byggforsk Prosjektrapport 51, belysning for kontorbygg, side 7.</t>
        </r>
      </text>
    </comment>
    <comment ref="F192" authorId="0" shapeId="0">
      <text>
        <r>
          <rPr>
            <b/>
            <sz val="8"/>
            <color indexed="81"/>
            <rFont val="Tahoma"/>
            <family val="2"/>
          </rPr>
          <t>Author:</t>
        </r>
        <r>
          <rPr>
            <sz val="8"/>
            <color indexed="81"/>
            <rFont val="Tahoma"/>
            <family val="2"/>
          </rPr>
          <t xml:space="preserve">
barnehage som for bolig, dvs. ikke bevegelig solskjerming. Utvendig solskjerming gir solfaktor 0,2 (som for TEK10) som multiplisert med glassets solfaktor gir resulterende solfaktor i aktivisert stilling.</t>
        </r>
      </text>
    </comment>
    <comment ref="C199" authorId="0" shapeId="0">
      <text>
        <r>
          <rPr>
            <b/>
            <sz val="8"/>
            <color indexed="81"/>
            <rFont val="Tahoma"/>
            <family val="2"/>
          </rPr>
          <t>Author:</t>
        </r>
        <r>
          <rPr>
            <sz val="8"/>
            <color indexed="81"/>
            <rFont val="Tahoma"/>
            <family val="2"/>
          </rPr>
          <t xml:space="preserve">
Må kunne forutsette samme arealandel</t>
        </r>
      </text>
    </comment>
    <comment ref="F199" authorId="0" shapeId="0">
      <text>
        <r>
          <rPr>
            <b/>
            <sz val="8"/>
            <color indexed="81"/>
            <rFont val="Tahoma"/>
            <family val="2"/>
          </rPr>
          <t>Author:</t>
        </r>
        <r>
          <rPr>
            <sz val="8"/>
            <color indexed="81"/>
            <rFont val="Tahoma"/>
            <family val="2"/>
          </rPr>
          <t xml:space="preserve">
Må kunne forutsette samme arealandel</t>
        </r>
      </text>
    </comment>
    <comment ref="C200" authorId="0" shapeId="0">
      <text>
        <r>
          <rPr>
            <b/>
            <sz val="9"/>
            <color indexed="81"/>
            <rFont val="Tahoma"/>
            <family val="2"/>
          </rPr>
          <t>Author:</t>
        </r>
        <r>
          <rPr>
            <sz val="9"/>
            <color indexed="81"/>
            <rFont val="Tahoma"/>
            <family val="2"/>
          </rPr>
          <t xml:space="preserve">
Småhus: Tungt bindingsverk, 100mm stender, uisolert, U-verdi 0,96. Referanse: 723.511
Boligblokk: 
U-verdi 1,3 tilsvarer 1 1/2 steins massiv teglsteinsvegg med middels densitet. Det ligger også i nærheten av vanlige hulmurer av tegl. </t>
        </r>
      </text>
    </comment>
    <comment ref="F200" authorId="0" shapeId="0">
      <text>
        <r>
          <rPr>
            <b/>
            <sz val="9"/>
            <color indexed="81"/>
            <rFont val="Tahoma"/>
            <family val="2"/>
          </rPr>
          <t>Author:</t>
        </r>
        <r>
          <rPr>
            <sz val="9"/>
            <color indexed="81"/>
            <rFont val="Tahoma"/>
            <family val="2"/>
          </rPr>
          <t xml:space="preserve">
U-verdi 1,3 tilsvarer 1 1/2 steins massiv teglsteinsvegg med middels densitet. Det ligger også i nærheten av vanlige hulmurer av tegl. Derfor kan dette sies å være representativt for perioden.
Barnehage og sykehjem antas som for småhus: Tungt bindingsverk, 100mm stender, uisolert, U-verdi 0,96. Referanse: 723.511</t>
        </r>
      </text>
    </comment>
    <comment ref="C201" authorId="0" shapeId="0">
      <text>
        <r>
          <rPr>
            <b/>
            <sz val="9"/>
            <color indexed="81"/>
            <rFont val="Tahoma"/>
            <family val="2"/>
          </rPr>
          <t>Author:</t>
        </r>
        <r>
          <rPr>
            <sz val="9"/>
            <color indexed="81"/>
            <rFont val="Tahoma"/>
            <family val="2"/>
          </rPr>
          <t xml:space="preserve">
Gulv på grunn ble aldri isolert. Men gulv på grunn eller mot kjeller gav jo god varmemotstand. Antar representativt gulv mot uoppvarmet kjeller. 
Småhus: 150x200mm bjelker m/ stubbeloftsleire, U-verdi konstruksjon 0,96. Effektiv U-verdi 0,61. Referanse 722.506 / 471.009
Boligblokk: 150x200mm bjelker m/ stubbeloftsleire, U-verdi konstruksjon 0,96. Effektiv U-verdi 0,55. Referanse 722.506 / 471.009/723.312</t>
        </r>
      </text>
    </comment>
    <comment ref="F201" authorId="0" shapeId="0">
      <text>
        <r>
          <rPr>
            <b/>
            <sz val="9"/>
            <color indexed="81"/>
            <rFont val="Tahoma"/>
            <family val="2"/>
          </rPr>
          <t>Author:</t>
        </r>
        <r>
          <rPr>
            <sz val="9"/>
            <color indexed="81"/>
            <rFont val="Tahoma"/>
            <family val="2"/>
          </rPr>
          <t xml:space="preserve">
Gulv på grunn ble aldri isolert. Men gulv på grunn eller mot kjeller gav jo god varmemotstand. Setter U-verdi samme som for TEK49, se kommentar.</t>
        </r>
      </text>
    </comment>
    <comment ref="C202" authorId="0" shapeId="0">
      <text>
        <r>
          <rPr>
            <b/>
            <sz val="9"/>
            <color indexed="81"/>
            <rFont val="Tahoma"/>
            <family val="2"/>
          </rPr>
          <t>Author:</t>
        </r>
        <r>
          <rPr>
            <sz val="9"/>
            <color indexed="81"/>
            <rFont val="Tahoma"/>
            <family val="2"/>
          </rPr>
          <t xml:space="preserve">
Småhus: Kaldtloft. 150x200mm bjelker m/ stubbeloftsleire. U-verdi konstruksjon 0,96. Effektiv U-verdi 0,81. Referanse 722.506 / 471.008
Boligblokk: Bjelkelag med leire med U-verdi i området 0,75 - 0,90, antar representativt 0,81 slik som eksempelet for småhus. Referanse 722.506 / 471.008
</t>
        </r>
      </text>
    </comment>
    <comment ref="F202" authorId="0" shapeId="0">
      <text>
        <r>
          <rPr>
            <b/>
            <sz val="9"/>
            <color indexed="81"/>
            <rFont val="Tahoma"/>
            <family val="2"/>
          </rPr>
          <t>Author:</t>
        </r>
        <r>
          <rPr>
            <sz val="9"/>
            <color indexed="81"/>
            <rFont val="Tahoma"/>
            <family val="2"/>
          </rPr>
          <t xml:space="preserve">
For etasjeskiller av betong: Vanlig med sydd matte på ca 3cm over betongdekke gir U-verdi ca 1,0. Alternativt bjelkelag med leire med U-verdi i området 0,75 - 0,90, men dette var mest vanlig for boligblokker. Derfor representativt med 1,0.
Barnehage og sykehjem antas som for småhus: Kaldtloft. 150x200mm bjelker m/ stubbeloftsleire. U-verdi konstruksjon 0,96. Effektiv U-verdi 0,81. Referanse 722.506 / 471.008. Som forøvrig er samme U-verdi krav som i TEK49.
</t>
        </r>
      </text>
    </comment>
    <comment ref="C203" authorId="0" shapeId="0">
      <text>
        <r>
          <rPr>
            <b/>
            <sz val="9"/>
            <color indexed="81"/>
            <rFont val="Tahoma"/>
            <family val="2"/>
          </rPr>
          <t>Author:</t>
        </r>
        <r>
          <rPr>
            <sz val="9"/>
            <color indexed="81"/>
            <rFont val="Tahoma"/>
            <family val="2"/>
          </rPr>
          <t xml:space="preserve">
Vanlig med dobble vinduer fra ca 1900.</t>
        </r>
      </text>
    </comment>
    <comment ref="F203" authorId="0" shapeId="0">
      <text>
        <r>
          <rPr>
            <b/>
            <sz val="9"/>
            <color indexed="81"/>
            <rFont val="Tahoma"/>
            <family val="2"/>
          </rPr>
          <t>Author:</t>
        </r>
        <r>
          <rPr>
            <sz val="9"/>
            <color indexed="81"/>
            <rFont val="Tahoma"/>
            <family val="2"/>
          </rPr>
          <t xml:space="preserve">
Vanlig med dobble vinduer fra ca 1900.</t>
        </r>
      </text>
    </comment>
    <comment ref="C204" authorId="0" shapeId="0">
      <text>
        <r>
          <rPr>
            <b/>
            <sz val="8"/>
            <color indexed="81"/>
            <rFont val="Tahoma"/>
            <family val="2"/>
          </rPr>
          <t>Author:</t>
        </r>
        <r>
          <rPr>
            <sz val="8"/>
            <color indexed="81"/>
            <rFont val="Tahoma"/>
            <family val="2"/>
          </rPr>
          <t xml:space="preserve">
Småhus: 0,05
Boligblokk: 0,12
Benytter standardverdier hentet fra NS3031 tabell A4. Småhus antas ha bæresystem i tre. Boligblokk antas ha bæresystem i betong, mur eller stål og 5 cm kuldebrobryter i fasadene. (10cm kuldebrobryter var ikke vanlig tidligere.) Egentlig er U-verdi krav i datidens TEK gitt  inkl./medregnet kuldebroer, men dette ble i praksis ikke fulgt. Når man skal energimerke et eldre bygg vil man i praksis kunne bruke datidens U-verdikrav dersom man ikke har annen informasjon om oppbygningen, men i tillegg vil man da sette inn standardverdier for kuldebroer far NS3031 tabell A4.a</t>
        </r>
      </text>
    </comment>
    <comment ref="F204" authorId="0" shapeId="0">
      <text>
        <r>
          <rPr>
            <b/>
            <sz val="8"/>
            <color indexed="81"/>
            <rFont val="Tahoma"/>
            <family val="2"/>
          </rPr>
          <t>Author:</t>
        </r>
        <r>
          <rPr>
            <sz val="8"/>
            <color indexed="81"/>
            <rFont val="Tahoma"/>
            <family val="2"/>
          </rPr>
          <t xml:space="preserve">
Setter samme verdier som for TEK10: 
Barnehage og sykehjem: 0,03
Øvrige: 0,06
Siden U-verdiene på konstruksjonen er dårligere (i større grad at hele konstruksjonen i seg selv er en kuldebro, og i ennå større grad enn TEK49) blir normalisert kuldebroverdi mindre. Barnehage antas ha bæresystem i tre. Også sykehjem. Øvrige antas ha bæresystem i mur/tegl som representativt. 
 </t>
        </r>
      </text>
    </comment>
    <comment ref="C205" authorId="0" shapeId="0">
      <text>
        <r>
          <rPr>
            <b/>
            <sz val="9"/>
            <color indexed="81"/>
            <rFont val="Tahoma"/>
            <family val="2"/>
          </rPr>
          <t>Author:</t>
        </r>
        <r>
          <rPr>
            <sz val="9"/>
            <color indexed="81"/>
            <rFont val="Tahoma"/>
            <family val="2"/>
          </rPr>
          <t xml:space="preserve">
I veiledningen til teknisk forskrift, og også gjengitt i NS3031 tabell B3:
- Anbefalt nivå for småhus i byggeforskriften av 1997: 4,0. Naturlig da å bruke dette lekkasjetallet (og ikke noe lavere) også for eldre bygg.
- Anbefalt nivå for alle bygningskategorier (bortsett fra småhus) over 2 etasjer i byggeforskrifter av 1985 og 1969: 1,5. Gjelder bla. boligblokk. Men i likhet med yrkesbyggene; øker lekkasjetallet fra 1,5 til 2,5 for alle bygningskategorier over 2 etasjer
TEK:
§ 8-22 Tetthet
Bygninger skal være så tette at effekten av varmeisoleringen ikke reduseres ved utilsiktet luftgjennomstrømning.
Fukt skal ikke kunne trenge inn og redusere bygningsdelenes varmeisolerende yteevne eller forringe bygningens levetid. Bygninger skal være så tette at inneklimaet ikke påvirkes negativt og slik at det ikke oppstår sjenerende trekk.
NS3031 tabell B3:
- Anbefalt nivå for småhus i byggeforskriften av 1997: 4,0.
- Anbefalt nivå for alle bygningskategorier (bortsett fra småhus) over 2 etasjer i byggeforskrifter av 1985 og 1969: 1,5. Gjelder bla. boligblokk.
Kommentar: Erik Aalgaard mener foreslåtte verdier i NS 3031 er for gode.
Vindusinnsetting: kun dytt og list, ikke fuge. Boligblokk - lette konstruksjoner, betongskiver med bindingsverk mellom. Kontorbygg ofte metallkledninger. 
Bygget etter NBI anvisninger.
Verdier er forslag fra Erik Algaard. </t>
        </r>
      </text>
    </comment>
    <comment ref="F205" authorId="0" shapeId="0">
      <text>
        <r>
          <rPr>
            <b/>
            <sz val="9"/>
            <color indexed="81"/>
            <rFont val="Tahoma"/>
            <family val="2"/>
          </rPr>
          <t>Author:</t>
        </r>
        <r>
          <rPr>
            <sz val="9"/>
            <color indexed="81"/>
            <rFont val="Tahoma"/>
            <family val="2"/>
          </rPr>
          <t xml:space="preserve">
Legger oss på samme nivå som for TEK97 og TEK87 hva gjelder bygningskategorier inntil 2 etasjer, dvs. lekkasjetall 3,0 for barnehage, Skole, Sykehjem, Hotell, Idrettsbygg, Kulturbygg og Industri/verksted.
Øker lekkasjetallet fra 1,5 til 2,5 for alle bygningskategorier over 2 etasjer: Kontorbygg, Universitet, Sykehus og Forretningsbygg.
</t>
        </r>
      </text>
    </comment>
    <comment ref="D206" authorId="1" shapeId="0">
      <text>
        <r>
          <rPr>
            <b/>
            <sz val="9"/>
            <color indexed="81"/>
            <rFont val="Tahoma"/>
            <family val="2"/>
          </rPr>
          <t>Gunnar Eriksen:</t>
        </r>
        <r>
          <rPr>
            <sz val="9"/>
            <color indexed="81"/>
            <rFont val="Tahoma"/>
            <family val="2"/>
          </rPr>
          <t xml:space="preserve">
I boligblokk og småhus er det krav om enten mekanisk avtrekksventilasjon fra spesielle rom, eventuelt naturlig oppdrift. Fra et baderom var kravet 60 m3/h og fra et kjøkken  var kravet 80 m3/h og fra et felles vaskerom (flere husstander) var kravet 200 m3/h.
Hvis man antar at det i et småhus er to bad og et kjøkken blir luftmengden 200 m3/h. Med et areal på 160 m2 blir luftmengden ca 1,25 m3/h/m2. 
Trond Ivar Bøhn:
Benytter veiledende luftmengde far NS 3031 tabell B1.</t>
        </r>
      </text>
    </comment>
    <comment ref="E206" authorId="1" shapeId="0">
      <text>
        <r>
          <rPr>
            <b/>
            <sz val="9"/>
            <color indexed="81"/>
            <rFont val="Tahoma"/>
            <family val="2"/>
          </rPr>
          <t>Gunnar Eriksen:</t>
        </r>
        <r>
          <rPr>
            <sz val="9"/>
            <color indexed="81"/>
            <rFont val="Tahoma"/>
            <family val="2"/>
          </rPr>
          <t xml:space="preserve">
I en boligblokk blir antagelig prosentandelen av kvadratmetere med rom med krav til ventilasjon større enn småhus. Hvis en typisk leilighet fra den tid er ca 100 m2 og man antar at det er et bad, et kjøkken og 1/5 av et vaskerom blir luftmengden ca 1,6 m3/h/m2. (det er da antatt at blokken har 10 leiligheter og 2 felles vaskerom)
Trond Ivar Bøhn:
Benytter veiledende luftmengde far NS 3031 tabell B1.</t>
        </r>
      </text>
    </comment>
    <comment ref="F206" authorId="0" shapeId="0">
      <text>
        <r>
          <rPr>
            <b/>
            <sz val="8"/>
            <color indexed="81"/>
            <rFont val="Tahoma"/>
            <family val="2"/>
          </rPr>
          <t>Gunnar Eriksen:</t>
        </r>
        <r>
          <rPr>
            <sz val="8"/>
            <color indexed="81"/>
            <rFont val="Tahoma"/>
            <family val="2"/>
          </rPr>
          <t xml:space="preserve">
Vanlig med naturlige ventilasjonsanlegg.
Antar 2-3 m3/h pr m2 vil være representativt.
</t>
        </r>
      </text>
    </comment>
    <comment ref="C207" authorId="0" shapeId="0">
      <text>
        <r>
          <rPr>
            <b/>
            <sz val="8"/>
            <color indexed="81"/>
            <rFont val="Tahoma"/>
            <family val="2"/>
          </rPr>
          <t>Author:</t>
        </r>
        <r>
          <rPr>
            <sz val="8"/>
            <color indexed="81"/>
            <rFont val="Tahoma"/>
            <family val="2"/>
          </rPr>
          <t xml:space="preserve">
Må regne med at eldre boliger ikke har balansert ventilasjon men naturlig ventilasjon og/eller mekanisk avtrekk</t>
        </r>
      </text>
    </comment>
    <comment ref="F207" authorId="0" shapeId="0">
      <text>
        <r>
          <rPr>
            <b/>
            <sz val="8"/>
            <color indexed="81"/>
            <rFont val="Tahoma"/>
            <family val="2"/>
          </rPr>
          <t xml:space="preserve">Gunnar Eriksen:
</t>
        </r>
        <r>
          <rPr>
            <sz val="8"/>
            <color indexed="81"/>
            <rFont val="Tahoma"/>
            <family val="2"/>
          </rPr>
          <t>Ingen dokumentasjon på hvordan kravene var. antar de var omtrent som TEK 49 hva gjelder ventilasjon. Dvs ingen krav til gjenvinning.</t>
        </r>
      </text>
    </comment>
    <comment ref="C210"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F210" authorId="0" shapeId="0">
      <text>
        <r>
          <rPr>
            <b/>
            <sz val="8"/>
            <color indexed="81"/>
            <rFont val="Tahoma"/>
            <family val="2"/>
          </rPr>
          <t>Author:</t>
        </r>
        <r>
          <rPr>
            <sz val="8"/>
            <color indexed="81"/>
            <rFont val="Tahoma"/>
            <family val="2"/>
          </rPr>
          <t xml:space="preserve">
Antar det som representativt at middelaldrende og eldre bygg ikke har nattsenkning</t>
        </r>
      </text>
    </comment>
    <comment ref="F211" authorId="0" shapeId="0">
      <text>
        <r>
          <rPr>
            <b/>
            <sz val="8"/>
            <color indexed="81"/>
            <rFont val="Tahoma"/>
            <family val="2"/>
          </rPr>
          <t>Author:</t>
        </r>
        <r>
          <rPr>
            <sz val="8"/>
            <color indexed="81"/>
            <rFont val="Tahoma"/>
            <family val="2"/>
          </rPr>
          <t xml:space="preserve">
Men:
Må kunne forutsette at også eldre bygg med kjølebehov har solavskjerming. PS: Installasjon av automatisk utvendig solavskjerming på bygg som ikke har dette fra før er ikke ensbetydende med reduksjon i energiforbruket, fordi man mister varmetiskudd i vinterhalvåret. Simuleringer i SIMIEN takler i det hele tatt dette dårlig.</t>
        </r>
      </text>
    </comment>
    <comment ref="F213" authorId="0" shapeId="0">
      <text>
        <r>
          <rPr>
            <b/>
            <sz val="8"/>
            <color indexed="81"/>
            <rFont val="Tahoma"/>
            <family val="2"/>
          </rPr>
          <t>Author:</t>
        </r>
        <r>
          <rPr>
            <sz val="8"/>
            <color indexed="81"/>
            <rFont val="Tahoma"/>
            <family val="2"/>
          </rPr>
          <t xml:space="preserve">
Bruker for middels gamle og eldre bygg standardverdi iht. NS3031 tabell A1 ganget med 15/8-deler. Dette tilsvarer forholdet mellom eldre belysning typisk T8 lysrørsarmaturer med mekanisk forkobling kontra nyere belysning typisk T5 lysrørsarmaturer med elektronisk forkobling. Referanse: Sintef Byggforsk Prosjektrapport 51, belysning for kontorbygg, side 7.</t>
        </r>
      </text>
    </comment>
  </commentList>
</comments>
</file>

<file path=xl/comments3.xml><?xml version="1.0" encoding="utf-8"?>
<comments xmlns="http://schemas.openxmlformats.org/spreadsheetml/2006/main">
  <authors>
    <author>Trond Ivar Bøhn</author>
  </authors>
  <commentList>
    <comment ref="A41" authorId="0" shapeId="0">
      <text>
        <r>
          <rPr>
            <b/>
            <sz val="9"/>
            <color indexed="81"/>
            <rFont val="Tahoma"/>
            <family val="2"/>
          </rPr>
          <t>Trond Ivar Bøhn:</t>
        </r>
        <r>
          <rPr>
            <sz val="9"/>
            <color indexed="81"/>
            <rFont val="Tahoma"/>
            <family val="2"/>
          </rPr>
          <t xml:space="preserve">
Må forutsette at ventilasjonen har blitt oppgradert på et senere tidspunkt. For med kun mekanisk avtrekk og små luftmengder som var vanlig i 1969 og tiden etter, tilfredsstilte man ikke arbeidsmiljøloven (444) som kom i 1991. Og man ville sannsynligvis ikke få leid ut.</t>
        </r>
      </text>
    </comment>
    <comment ref="A76" authorId="0" shapeId="0">
      <text>
        <r>
          <rPr>
            <b/>
            <sz val="9"/>
            <color indexed="81"/>
            <rFont val="Tahoma"/>
            <family val="2"/>
          </rPr>
          <t>Trond Ivar Bøhn:</t>
        </r>
        <r>
          <rPr>
            <sz val="9"/>
            <color indexed="81"/>
            <rFont val="Tahoma"/>
            <family val="2"/>
          </rPr>
          <t xml:space="preserve">
Må forutsette at ventilasjonen har blitt oppgradert på et senere tidspunkt. For med kun naturlig ventilasjon som var vanlig i 1949 og tidligere, tilfredsstilte man ikke arbeidsmiljøloven (444) som kom i 1991. Og man ville sannsynligvis ikke få leid ut.</t>
        </r>
      </text>
    </comment>
  </commentList>
</comments>
</file>

<file path=xl/comments4.xml><?xml version="1.0" encoding="utf-8"?>
<comments xmlns="http://schemas.openxmlformats.org/spreadsheetml/2006/main">
  <authors>
    <author>Trond Ivar Bøhn</author>
    <author>Author</author>
    <author>Bøhn, Trond Ivar</author>
  </authors>
  <commentList>
    <comment ref="U18" authorId="0" shapeId="0">
      <text>
        <r>
          <rPr>
            <b/>
            <sz val="9"/>
            <color indexed="81"/>
            <rFont val="Tahoma"/>
            <family val="2"/>
          </rPr>
          <t>Trond Ivar Bøhn:</t>
        </r>
        <r>
          <rPr>
            <sz val="9"/>
            <color indexed="81"/>
            <rFont val="Tahoma"/>
            <family val="2"/>
          </rPr>
          <t xml:space="preserve">
Tilfredsstilles ved halvering av vindusarealet, dvs redusert til 10 % av BRA, som vel kan sies å være mer representativt for idrettsbygg som sjelden har mye vinduer.</t>
        </r>
      </text>
    </comment>
    <comment ref="B24" authorId="0" shapeId="0">
      <text>
        <r>
          <rPr>
            <b/>
            <sz val="9"/>
            <color indexed="81"/>
            <rFont val="Tahoma"/>
            <family val="2"/>
          </rPr>
          <t>Trond Ivar Bøhn:</t>
        </r>
        <r>
          <rPr>
            <sz val="9"/>
            <color indexed="81"/>
            <rFont val="Tahoma"/>
            <family val="2"/>
          </rPr>
          <t xml:space="preserve">
Tall i rødt er ikke minstekrav men vanlige verdier</t>
        </r>
      </text>
    </comment>
    <comment ref="E24" authorId="0" shapeId="0">
      <text>
        <r>
          <rPr>
            <b/>
            <sz val="9"/>
            <color indexed="81"/>
            <rFont val="Tahoma"/>
            <family val="2"/>
          </rPr>
          <t>Trond Ivar Bøhn:</t>
        </r>
        <r>
          <rPr>
            <sz val="9"/>
            <color indexed="81"/>
            <rFont val="Tahoma"/>
            <family val="2"/>
          </rPr>
          <t xml:space="preserve">
Tall i rødt er ikke minstekrav men vanlige verdier</t>
        </r>
      </text>
    </comment>
    <comment ref="B26" authorId="1" shapeId="0">
      <text>
        <r>
          <rPr>
            <b/>
            <sz val="9"/>
            <color indexed="81"/>
            <rFont val="Tahoma"/>
            <family val="2"/>
          </rPr>
          <t>Author:</t>
        </r>
        <r>
          <rPr>
            <sz val="9"/>
            <color indexed="81"/>
            <rFont val="Tahoma"/>
            <family val="2"/>
          </rPr>
          <t xml:space="preserve">
Forutsetter at 20 % gjelder også her. </t>
        </r>
      </text>
    </comment>
    <comment ref="E26" authorId="1" shapeId="0">
      <text>
        <r>
          <rPr>
            <b/>
            <sz val="9"/>
            <color indexed="81"/>
            <rFont val="Tahoma"/>
            <family val="2"/>
          </rPr>
          <t>Author:</t>
        </r>
        <r>
          <rPr>
            <sz val="9"/>
            <color indexed="81"/>
            <rFont val="Tahoma"/>
            <family val="2"/>
          </rPr>
          <t xml:space="preserve">
Forutsetter at 20 % gjelder også her. </t>
        </r>
      </text>
    </comment>
    <comment ref="F33" authorId="1" shapeId="0">
      <text>
        <r>
          <rPr>
            <b/>
            <sz val="8"/>
            <color indexed="81"/>
            <rFont val="Tahoma"/>
            <family val="2"/>
          </rPr>
          <t>Author:</t>
        </r>
        <r>
          <rPr>
            <sz val="8"/>
            <color indexed="81"/>
            <rFont val="Tahoma"/>
            <family val="2"/>
          </rPr>
          <t xml:space="preserve">
Luftmengde hhv i og utenfor driftstid
</t>
        </r>
      </text>
    </comment>
    <comment ref="G33" authorId="1" shapeId="0">
      <text>
        <r>
          <rPr>
            <b/>
            <sz val="8"/>
            <color indexed="81"/>
            <rFont val="Tahoma"/>
            <family val="2"/>
          </rPr>
          <t>Author:</t>
        </r>
        <r>
          <rPr>
            <sz val="8"/>
            <color indexed="81"/>
            <rFont val="Tahoma"/>
            <family val="2"/>
          </rPr>
          <t xml:space="preserve">
Luftmengde hhv i og utenfor driftstid
</t>
        </r>
      </text>
    </comment>
    <comment ref="K39" authorId="1" shapeId="0">
      <text>
        <r>
          <rPr>
            <b/>
            <sz val="8"/>
            <color indexed="81"/>
            <rFont val="Tahoma"/>
            <family val="2"/>
          </rPr>
          <t>Author:</t>
        </r>
        <r>
          <rPr>
            <sz val="8"/>
            <color indexed="81"/>
            <rFont val="Tahoma"/>
            <family val="2"/>
          </rPr>
          <t xml:space="preserve">
I SIMIEN-fil som er grunnlag for energirammene er det IKKE innlagt kjøling. Legger derfor heller ikke inn kjøling for passivhus her, til tross for at dette er lagt inn i SINTEF prosjektrapport 42 med verdi 10 W/m2</t>
        </r>
      </text>
    </comment>
    <comment ref="M39" authorId="1" shapeId="0">
      <text>
        <r>
          <rPr>
            <b/>
            <sz val="8"/>
            <color indexed="81"/>
            <rFont val="Tahoma"/>
            <family val="2"/>
          </rPr>
          <t>Author:</t>
        </r>
        <r>
          <rPr>
            <sz val="8"/>
            <color indexed="81"/>
            <rFont val="Tahoma"/>
            <family val="2"/>
          </rPr>
          <t xml:space="preserve">
I SIMIEN-fil som er grunnlag for energirammene er det IKKE innlagt kjøling. Legger derfor heller ikke inn kjøling for passivhus her, til tross for at dette er lagt inn i SINTEF prosjektrapport 42 med verdi 10 W/m2</t>
        </r>
      </text>
    </comment>
    <comment ref="A44" authorId="2" shapeId="0">
      <text>
        <r>
          <rPr>
            <b/>
            <sz val="8"/>
            <color indexed="81"/>
            <rFont val="Tahoma"/>
            <family val="2"/>
          </rPr>
          <t>Bøhn, Trond Ivar:</t>
        </r>
        <r>
          <rPr>
            <sz val="8"/>
            <color indexed="81"/>
            <rFont val="Tahoma"/>
            <family val="2"/>
          </rPr>
          <t xml:space="preserve">
Ifølge NS3700/01: Ved beregning av varmetilskudd fra sol i perioder med oppvarmingsbehov skal man beregne soltilskuddet uten virkningen av regulerbar solskjerming, dvs. f(with) = 0 i oppvarmingsperioden.</t>
        </r>
      </text>
    </comment>
    <comment ref="E44" authorId="2" shapeId="0">
      <text>
        <r>
          <rPr>
            <b/>
            <sz val="8"/>
            <color indexed="81"/>
            <rFont val="Tahoma"/>
            <family val="2"/>
          </rPr>
          <t>Bøhn, Trond Ivar:</t>
        </r>
        <r>
          <rPr>
            <sz val="8"/>
            <color indexed="81"/>
            <rFont val="Tahoma"/>
            <family val="2"/>
          </rPr>
          <t xml:space="preserve">
Tilsvarer valg i nedtrekksmeny i SIMIEN: "Tre lags glass, hvorav to er energispareglass"</t>
        </r>
      </text>
    </comment>
    <comment ref="A47" authorId="2" shapeId="0">
      <text>
        <r>
          <rPr>
            <b/>
            <sz val="8"/>
            <color indexed="81"/>
            <rFont val="Tahoma"/>
            <family val="2"/>
          </rPr>
          <t>Bøhn, Trond Ivar:</t>
        </r>
        <r>
          <rPr>
            <sz val="8"/>
            <color indexed="81"/>
            <rFont val="Tahoma"/>
            <family val="2"/>
          </rPr>
          <t xml:space="preserve">
Beregningen for pasivhus i SINTEF Prosjektrapport 42 er gjort uten installaert varmebatteri ventilasjon. (Dette kan gjøres fordi virkningsgraden på varmegjenvinneren er så høy). Med dette øker romoppvarmingen noe, men oppvarmingsbehovet totalt sett går litt ned. MEN, i våre beregninger tar vi med varmebatterida dette synes å være praksisen (foreløpig) i passivhusprosjekter.</t>
        </r>
      </text>
    </comment>
  </commentList>
</comments>
</file>

<file path=xl/comments5.xml><?xml version="1.0" encoding="utf-8"?>
<comments xmlns="http://schemas.openxmlformats.org/spreadsheetml/2006/main">
  <authors>
    <author>Trond Ivar Bøhn</author>
  </authors>
  <commentList>
    <comment ref="B177" authorId="0" shapeId="0">
      <text>
        <r>
          <rPr>
            <b/>
            <sz val="9"/>
            <color indexed="81"/>
            <rFont val="Tahoma"/>
            <family val="2"/>
          </rPr>
          <t>Trond Ivar Bøhn:</t>
        </r>
        <r>
          <rPr>
            <sz val="9"/>
            <color indexed="81"/>
            <rFont val="Tahoma"/>
            <family val="2"/>
          </rPr>
          <t xml:space="preserve">
Lavere gjennomsnittlig luftmengde forbedrer også gjennomsnittlig varmegjenvinning</t>
        </r>
      </text>
    </comment>
    <comment ref="B179" authorId="0" shapeId="0">
      <text>
        <r>
          <rPr>
            <b/>
            <sz val="9"/>
            <color indexed="81"/>
            <rFont val="Tahoma"/>
            <family val="2"/>
          </rPr>
          <t>Trond Ivar Bøhn:</t>
        </r>
        <r>
          <rPr>
            <sz val="9"/>
            <color indexed="81"/>
            <rFont val="Tahoma"/>
            <family val="2"/>
          </rPr>
          <t xml:space="preserve">
Lavere gjennomsnittlig luftmengde forbedrer også gjennomsnittlig SFP. Regner imidlertid ikke å komme helt ned på 1,5 for næringsbygg grunnet begrensning i eksiserende kanalnett</t>
        </r>
      </text>
    </comment>
    <comment ref="B191" authorId="0" shapeId="0">
      <text>
        <r>
          <rPr>
            <b/>
            <sz val="9"/>
            <color indexed="81"/>
            <rFont val="Tahoma"/>
            <family val="2"/>
          </rPr>
          <t>Trond Ivar Bøhn:</t>
        </r>
        <r>
          <rPr>
            <sz val="9"/>
            <color indexed="81"/>
            <rFont val="Tahoma"/>
            <family val="2"/>
          </rPr>
          <t xml:space="preserve">
Energibesparelse ved samtidig forbedring av varmegjenvinning og SFP. Dette må trekkes fra nedenfor for å finne virkningen av kun DCV.</t>
        </r>
      </text>
    </comment>
    <comment ref="B215" authorId="0" shapeId="0">
      <text>
        <r>
          <rPr>
            <b/>
            <sz val="9"/>
            <color indexed="81"/>
            <rFont val="Tahoma"/>
            <family val="2"/>
          </rPr>
          <t>Trond Ivar Bøhn:</t>
        </r>
        <r>
          <rPr>
            <sz val="9"/>
            <color indexed="81"/>
            <rFont val="Tahoma"/>
            <family val="2"/>
          </rPr>
          <t xml:space="preserve">
Da det i utgangspunktet (startpunkt) allerede er nattsenkning (for å gi lavere energiforbruk og dermed lavere energibesparelse på isolasjonstiltakene) må det her settes inn parametere UTEN nattsenkning for å finne differansen i energibruk og dermed energibesparelsen for tiltaket.</t>
        </r>
      </text>
    </comment>
    <comment ref="B262" authorId="0" shapeId="0">
      <text>
        <r>
          <rPr>
            <b/>
            <sz val="9"/>
            <color indexed="81"/>
            <rFont val="Tahoma"/>
            <family val="2"/>
          </rPr>
          <t>Trond Ivar Bøhn:</t>
        </r>
        <r>
          <rPr>
            <sz val="9"/>
            <color indexed="81"/>
            <rFont val="Tahoma"/>
            <family val="2"/>
          </rPr>
          <t xml:space="preserve">
Varmetapet fra belysningen kommer normalt bygget til gode i vinterhalvåret og reduserer dermed oppvarmingsbehovet. Resulterende besparelse blir da liten. Men ved romkjøling (betydelig kjølebehov) oppnås motsatt effekt, dvs. økt energibesparelse i sommerhalvåret pga redusert kjølebehov. Antar dette utlikner økningen i oppvarming i vinterhalvåret. For de bygg som normalt har romkjøling.</t>
        </r>
      </text>
    </comment>
    <comment ref="B277" authorId="0" shapeId="0">
      <text>
        <r>
          <rPr>
            <b/>
            <sz val="9"/>
            <color indexed="81"/>
            <rFont val="Tahoma"/>
            <family val="2"/>
          </rPr>
          <t>Trond Ivar Bøhn:</t>
        </r>
        <r>
          <rPr>
            <sz val="9"/>
            <color indexed="81"/>
            <rFont val="Tahoma"/>
            <family val="2"/>
          </rPr>
          <t xml:space="preserve">
Energibesparelse ved samtidig energieffektift belysningsutstyr. Dette må trekkes fra nedenfor for å finne virkningen av kun styringssystem belysning.</t>
        </r>
      </text>
    </comment>
    <comment ref="B298" authorId="0" shapeId="0">
      <text>
        <r>
          <rPr>
            <b/>
            <sz val="9"/>
            <color indexed="81"/>
            <rFont val="Tahoma"/>
            <family val="2"/>
          </rPr>
          <t>Trond Ivar Bøhn:</t>
        </r>
        <r>
          <rPr>
            <sz val="9"/>
            <color indexed="81"/>
            <rFont val="Tahoma"/>
            <family val="2"/>
          </rPr>
          <t xml:space="preserve">
Varmetapet fra belysningen kommer normalt bygget til gode i vinterhalvåret og reduserer dermed oppvarmingsbehovet. Resulterende besparelse blir da liten. Men ved romkjøling (betydelig kjølebehov) oppnås motsatt effekt, dvs. økt energibesparelse i sommerhalvåret pga redusert kjølebehov. Antar dette utlikner økningen i oppvarming i vinterhalvåret. For de bygg som normalt har romkjøling.</t>
        </r>
      </text>
    </comment>
    <comment ref="B305" authorId="0" shapeId="0">
      <text>
        <r>
          <rPr>
            <b/>
            <sz val="9"/>
            <color indexed="81"/>
            <rFont val="Tahoma"/>
            <family val="2"/>
          </rPr>
          <t>Trond Ivar Bøhn:</t>
        </r>
        <r>
          <rPr>
            <sz val="9"/>
            <color indexed="81"/>
            <rFont val="Tahoma"/>
            <family val="2"/>
          </rPr>
          <t xml:space="preserve">
Skal automatisk solskjerming være et energieffektiviseringstiltak, avhenger det av at bygget har lokal kjøling. Dette må derfor legges inn i SIMIEN-fil som "forbruk før enøk".</t>
        </r>
      </text>
    </comment>
    <comment ref="B337" authorId="0" shapeId="0">
      <text>
        <r>
          <rPr>
            <b/>
            <sz val="9"/>
            <color indexed="81"/>
            <rFont val="Tahoma"/>
            <family val="2"/>
          </rPr>
          <t>Trond Ivar Bøhn:</t>
        </r>
        <r>
          <rPr>
            <sz val="9"/>
            <color indexed="81"/>
            <rFont val="Tahoma"/>
            <family val="2"/>
          </rPr>
          <t xml:space="preserve">
Beregningsmessig er solskjerming litt vrient i SIMIEN. Solskjerming gir redusert varmetilskudd vinter og dermed øker oppvarmingsbehovet. Imidlertid må man kunne forutsette at solskjermingen programmeres/overstyres vinter når det ikke er kjølebehov, slik at den ikke er mer aktiv enn før. Altså regnes kun med besparelsen for posten "romkjøling" som følge av reduksjon i kjølebehovet i sommerperioden.</t>
        </r>
      </text>
    </comment>
  </commentList>
</comments>
</file>

<file path=xl/comments6.xml><?xml version="1.0" encoding="utf-8"?>
<comments xmlns="http://schemas.openxmlformats.org/spreadsheetml/2006/main">
  <authors>
    <author>Trond Ivar Bøhn</author>
  </authors>
  <commentList>
    <comment ref="B177" authorId="0" shapeId="0">
      <text>
        <r>
          <rPr>
            <b/>
            <sz val="9"/>
            <color indexed="81"/>
            <rFont val="Tahoma"/>
            <family val="2"/>
          </rPr>
          <t>Trond Ivar Bøhn:</t>
        </r>
        <r>
          <rPr>
            <sz val="9"/>
            <color indexed="81"/>
            <rFont val="Tahoma"/>
            <family val="2"/>
          </rPr>
          <t xml:space="preserve">
Lavere gjennomsnittlig luftmengde forbedrer også gjennomsnittlig varmegjenvinning</t>
        </r>
      </text>
    </comment>
    <comment ref="B179" authorId="0" shapeId="0">
      <text>
        <r>
          <rPr>
            <b/>
            <sz val="9"/>
            <color indexed="81"/>
            <rFont val="Tahoma"/>
            <family val="2"/>
          </rPr>
          <t>Trond Ivar Bøhn:</t>
        </r>
        <r>
          <rPr>
            <sz val="9"/>
            <color indexed="81"/>
            <rFont val="Tahoma"/>
            <family val="2"/>
          </rPr>
          <t xml:space="preserve">
Lavere gjennomsnittlig luftmengde forbedrer også gjennomsnittlig SFP. Regner imidlertid ikke å komme helt ned på 1,5 for næringsbygg grunnet begrensning i eksiserende kanalnett</t>
        </r>
      </text>
    </comment>
    <comment ref="B191" authorId="0" shapeId="0">
      <text>
        <r>
          <rPr>
            <b/>
            <sz val="9"/>
            <color indexed="81"/>
            <rFont val="Tahoma"/>
            <family val="2"/>
          </rPr>
          <t>Trond Ivar Bøhn:</t>
        </r>
        <r>
          <rPr>
            <sz val="9"/>
            <color indexed="81"/>
            <rFont val="Tahoma"/>
            <family val="2"/>
          </rPr>
          <t xml:space="preserve">
Energibesparelse ved samtidig forbedring av varmegjenvinning og SFP. Dette må trekkes fra nedenfor for å finne virkningen av kun DCV.</t>
        </r>
      </text>
    </comment>
    <comment ref="B262" authorId="0" shapeId="0">
      <text>
        <r>
          <rPr>
            <b/>
            <sz val="9"/>
            <color indexed="81"/>
            <rFont val="Tahoma"/>
            <family val="2"/>
          </rPr>
          <t>Trond Ivar Bøhn:</t>
        </r>
        <r>
          <rPr>
            <sz val="9"/>
            <color indexed="81"/>
            <rFont val="Tahoma"/>
            <family val="2"/>
          </rPr>
          <t xml:space="preserve">
Varmetapet fra belysningen kommer normalt bygget til gode i vinterhalvåret og reduserer dermed oppvarmingsbehovet. Resulterende besparelse blir da liten. Men ved romkjøling (betydelig kjølebehov) oppnås motsatt effekt, dvs. økt energibesparelse i sommerhalvåret pga redusert kjølebehov. Antar dette utlikner økningen i oppvarming i vinterhalvåret. For de bygg som normalt har romkjøling.</t>
        </r>
      </text>
    </comment>
    <comment ref="B277" authorId="0" shapeId="0">
      <text>
        <r>
          <rPr>
            <b/>
            <sz val="9"/>
            <color indexed="81"/>
            <rFont val="Tahoma"/>
            <family val="2"/>
          </rPr>
          <t>Trond Ivar Bøhn:</t>
        </r>
        <r>
          <rPr>
            <sz val="9"/>
            <color indexed="81"/>
            <rFont val="Tahoma"/>
            <family val="2"/>
          </rPr>
          <t xml:space="preserve">
Energibesparelse ved samtidig energieffektift belysningsutstyr. Dette må trekkes fra nedenfor for å finne virkningen av kun styringssystem belysning.</t>
        </r>
      </text>
    </comment>
    <comment ref="B298" authorId="0" shapeId="0">
      <text>
        <r>
          <rPr>
            <b/>
            <sz val="9"/>
            <color indexed="81"/>
            <rFont val="Tahoma"/>
            <family val="2"/>
          </rPr>
          <t>Trond Ivar Bøhn:</t>
        </r>
        <r>
          <rPr>
            <sz val="9"/>
            <color indexed="81"/>
            <rFont val="Tahoma"/>
            <family val="2"/>
          </rPr>
          <t xml:space="preserve">
Varmetapet fra belysningen kommer normalt bygget til gode i vinterhalvåret og reduserer dermed oppvarmingsbehovet. Resulterende besparelse blir da liten. Men ved romkjøling (betydelig kjølebehov) oppnås motsatt effekt, dvs. økt energibesparelse i sommerhalvåret pga redusert kjølebehov. Antar dette utlikner økningen i oppvarming i vinterhalvåret. For de bygg som normalt har romkjøling.</t>
        </r>
      </text>
    </comment>
    <comment ref="B308" authorId="0" shapeId="0">
      <text>
        <r>
          <rPr>
            <b/>
            <sz val="9"/>
            <color indexed="81"/>
            <rFont val="Tahoma"/>
            <family val="2"/>
          </rPr>
          <t>Trond Ivar Bøhn:</t>
        </r>
        <r>
          <rPr>
            <sz val="9"/>
            <color indexed="81"/>
            <rFont val="Tahoma"/>
            <family val="2"/>
          </rPr>
          <t xml:space="preserve">
Skal automatisk solskjerming være et energieffektiviseringstiltak, avhenger det av at bygget har lokal kjøling. Dette må derfor legges inn i SIMIEN-fil som "forbruk før enøk".</t>
        </r>
      </text>
    </comment>
    <comment ref="B340" authorId="0" shapeId="0">
      <text>
        <r>
          <rPr>
            <b/>
            <sz val="9"/>
            <color indexed="81"/>
            <rFont val="Tahoma"/>
            <family val="2"/>
          </rPr>
          <t>Trond Ivar Bøhn:</t>
        </r>
        <r>
          <rPr>
            <sz val="9"/>
            <color indexed="81"/>
            <rFont val="Tahoma"/>
            <family val="2"/>
          </rPr>
          <t xml:space="preserve">
Beregningsmessig er solskjerming litt vrient i SIMIEN. Solskjerming gir redusert varmetilskudd vinter og dermed øker oppvarmingsbehovet. Imidlertid må man kunne forutsette at solskjermingen programmeres/overstyres vinter når det ikke er kjølebehov, slik at den ikke er mer aktiv enn før. Altså regnes kun med besparelsen for posten "romkjøling" som følge av reduksjon i kjølebehovet i sommerperioden.</t>
        </r>
      </text>
    </comment>
  </commentList>
</comments>
</file>

<file path=xl/comments7.xml><?xml version="1.0" encoding="utf-8"?>
<comments xmlns="http://schemas.openxmlformats.org/spreadsheetml/2006/main">
  <authors>
    <author>Trond Ivar Bøhn</author>
  </authors>
  <commentList>
    <comment ref="B177" authorId="0" shapeId="0">
      <text>
        <r>
          <rPr>
            <b/>
            <sz val="9"/>
            <color indexed="81"/>
            <rFont val="Tahoma"/>
            <family val="2"/>
          </rPr>
          <t>Trond Ivar Bøhn:</t>
        </r>
        <r>
          <rPr>
            <sz val="9"/>
            <color indexed="81"/>
            <rFont val="Tahoma"/>
            <family val="2"/>
          </rPr>
          <t xml:space="preserve">
Lavere gjennomsnittlig luftmengde forbedrer også gjennomsnittlig varmegjenvinning</t>
        </r>
      </text>
    </comment>
    <comment ref="B179" authorId="0" shapeId="0">
      <text>
        <r>
          <rPr>
            <b/>
            <sz val="9"/>
            <color indexed="81"/>
            <rFont val="Tahoma"/>
            <family val="2"/>
          </rPr>
          <t>Trond Ivar Bøhn:</t>
        </r>
        <r>
          <rPr>
            <sz val="9"/>
            <color indexed="81"/>
            <rFont val="Tahoma"/>
            <family val="2"/>
          </rPr>
          <t xml:space="preserve">
Lavere gjennomsnittlig luftmengde forbedrer også gjennomsnittlig SFP. Regner imidlertid ikke å komme helt ned på 1,5 for næringsbygg grunnet begrensning i eksiserende kanalnett</t>
        </r>
      </text>
    </comment>
    <comment ref="B191" authorId="0" shapeId="0">
      <text>
        <r>
          <rPr>
            <b/>
            <sz val="9"/>
            <color indexed="81"/>
            <rFont val="Tahoma"/>
            <family val="2"/>
          </rPr>
          <t>Trond Ivar Bøhn:</t>
        </r>
        <r>
          <rPr>
            <sz val="9"/>
            <color indexed="81"/>
            <rFont val="Tahoma"/>
            <family val="2"/>
          </rPr>
          <t xml:space="preserve">
Energibesparelse ved samtidig forbedring av varmegjenvinning og SFP. Dette må trekkes fra nedenfor for å finne virkningen av kun DCV.</t>
        </r>
      </text>
    </comment>
    <comment ref="B262" authorId="0" shapeId="0">
      <text>
        <r>
          <rPr>
            <b/>
            <sz val="9"/>
            <color indexed="81"/>
            <rFont val="Tahoma"/>
            <family val="2"/>
          </rPr>
          <t>Trond Ivar Bøhn:</t>
        </r>
        <r>
          <rPr>
            <sz val="9"/>
            <color indexed="81"/>
            <rFont val="Tahoma"/>
            <family val="2"/>
          </rPr>
          <t xml:space="preserve">
Varmetapet fra belysningen kommer normalt bygget til gode i vinterhalvåret og reduserer dermed oppvarmingsbehovet. Resulterende besparelse blir da liten. Men ved romkjøling (betydelig kjølebehov) oppnås motsatt effekt, dvs. økt energibesparelse i sommerhalvåret pga redusert kjølebehov. Antar dette utlikner økningen i oppvarming i vinterhalvåret. For de bygg som normalt har romkjøling.</t>
        </r>
      </text>
    </comment>
    <comment ref="B277" authorId="0" shapeId="0">
      <text>
        <r>
          <rPr>
            <b/>
            <sz val="9"/>
            <color indexed="81"/>
            <rFont val="Tahoma"/>
            <family val="2"/>
          </rPr>
          <t>Trond Ivar Bøhn:</t>
        </r>
        <r>
          <rPr>
            <sz val="9"/>
            <color indexed="81"/>
            <rFont val="Tahoma"/>
            <family val="2"/>
          </rPr>
          <t xml:space="preserve">
Energibesparelse ved samtidig energieffektift belysningsutstyr. Dette må trekkes fra nedenfor for å finne virkningen av kun styringssystem belysning.</t>
        </r>
      </text>
    </comment>
    <comment ref="B298" authorId="0" shapeId="0">
      <text>
        <r>
          <rPr>
            <b/>
            <sz val="9"/>
            <color indexed="81"/>
            <rFont val="Tahoma"/>
            <family val="2"/>
          </rPr>
          <t>Trond Ivar Bøhn:</t>
        </r>
        <r>
          <rPr>
            <sz val="9"/>
            <color indexed="81"/>
            <rFont val="Tahoma"/>
            <family val="2"/>
          </rPr>
          <t xml:space="preserve">
Varmetapet fra belysningen kommer normalt bygget til gode i vinterhalvåret og reduserer dermed oppvarmingsbehovet. Resulterende besparelse blir da liten. Men ved romkjøling (betydelig kjølebehov) oppnås motsatt effekt, dvs. økt energibesparelse i sommerhalvåret pga redusert kjølebehov. Antar dette utlikner økningen i oppvarming i vinterhalvåret. For de bygg som normalt har romkjøling.</t>
        </r>
      </text>
    </comment>
    <comment ref="B305" authorId="0" shapeId="0">
      <text>
        <r>
          <rPr>
            <b/>
            <sz val="9"/>
            <color indexed="81"/>
            <rFont val="Tahoma"/>
            <family val="2"/>
          </rPr>
          <t>Trond Ivar Bøhn:</t>
        </r>
        <r>
          <rPr>
            <sz val="9"/>
            <color indexed="81"/>
            <rFont val="Tahoma"/>
            <family val="2"/>
          </rPr>
          <t xml:space="preserve">
Skal automatisk solskjerming være et energieffektiviseringstiltak, avhenger det av at bygget har lokal kjøling. Dette må derfor legges inn i SIMIEN-fil som "forbruk før enøk".</t>
        </r>
      </text>
    </comment>
    <comment ref="B337" authorId="0" shapeId="0">
      <text>
        <r>
          <rPr>
            <b/>
            <sz val="9"/>
            <color indexed="81"/>
            <rFont val="Tahoma"/>
            <family val="2"/>
          </rPr>
          <t>Trond Ivar Bøhn:</t>
        </r>
        <r>
          <rPr>
            <sz val="9"/>
            <color indexed="81"/>
            <rFont val="Tahoma"/>
            <family val="2"/>
          </rPr>
          <t xml:space="preserve">
Beregningsmessig er solskjerming litt vrient i SIMIEN. Solskjerming gir redusert varmetilskudd vinter og dermed øker oppvarmingsbehovet. Imidlertid må man kunne forutsette at solskjermingen programmeres/overstyres vinter når det ikke er kjølebehov, slik at den ikke er mer aktiv enn før. Altså regnes kun med besparelsen for posten "romkjøling" som følge av reduksjon i kjølebehovet i sommerperioden.</t>
        </r>
      </text>
    </comment>
  </commentList>
</comments>
</file>

<file path=xl/comments8.xml><?xml version="1.0" encoding="utf-8"?>
<comments xmlns="http://schemas.openxmlformats.org/spreadsheetml/2006/main">
  <authors>
    <author>Trond Ivar Bøhn</author>
    <author>Preben Jensen</author>
  </authors>
  <commentList>
    <comment ref="R44"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44" authorId="0" shapeId="0">
      <text>
        <r>
          <rPr>
            <b/>
            <sz val="9"/>
            <color indexed="81"/>
            <rFont val="Tahoma"/>
            <family val="2"/>
          </rPr>
          <t>Trond Ivar Bøhn:</t>
        </r>
        <r>
          <rPr>
            <sz val="9"/>
            <color indexed="81"/>
            <rFont val="Tahoma"/>
            <family val="2"/>
          </rPr>
          <t xml:space="preserve">
Legger på 15% for høy markedspris</t>
        </r>
      </text>
    </comment>
    <comment ref="R45"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45" authorId="0" shapeId="0">
      <text>
        <r>
          <rPr>
            <b/>
            <sz val="9"/>
            <color indexed="81"/>
            <rFont val="Tahoma"/>
            <family val="2"/>
          </rPr>
          <t>Trond Ivar Bøhn:</t>
        </r>
        <r>
          <rPr>
            <sz val="9"/>
            <color indexed="81"/>
            <rFont val="Tahoma"/>
            <family val="2"/>
          </rPr>
          <t xml:space="preserve">
Legger på 15% for høy markedspris</t>
        </r>
      </text>
    </comment>
    <comment ref="R46"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46" authorId="0" shapeId="0">
      <text>
        <r>
          <rPr>
            <b/>
            <sz val="9"/>
            <color indexed="81"/>
            <rFont val="Tahoma"/>
            <family val="2"/>
          </rPr>
          <t>Trond Ivar Bøhn:</t>
        </r>
        <r>
          <rPr>
            <sz val="9"/>
            <color indexed="81"/>
            <rFont val="Tahoma"/>
            <family val="2"/>
          </rPr>
          <t xml:space="preserve">
Legger på 15% for høy markedspris</t>
        </r>
      </text>
    </comment>
    <comment ref="Q47" authorId="0" shapeId="0">
      <text>
        <r>
          <rPr>
            <b/>
            <sz val="9"/>
            <color indexed="81"/>
            <rFont val="Tahoma"/>
            <family val="2"/>
          </rPr>
          <t>Trond Ivar Bøhn:</t>
        </r>
        <r>
          <rPr>
            <sz val="9"/>
            <color indexed="81"/>
            <rFont val="Tahoma"/>
            <family val="2"/>
          </rPr>
          <t xml:space="preserve">
Legger på 15% for høy markedspris</t>
        </r>
      </text>
    </comment>
    <comment ref="R47"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47" authorId="0" shapeId="0">
      <text>
        <r>
          <rPr>
            <b/>
            <sz val="9"/>
            <color indexed="81"/>
            <rFont val="Tahoma"/>
            <family val="2"/>
          </rPr>
          <t>Trond Ivar Bøhn:</t>
        </r>
        <r>
          <rPr>
            <sz val="9"/>
            <color indexed="81"/>
            <rFont val="Tahoma"/>
            <family val="2"/>
          </rPr>
          <t xml:space="preserve">
Legger på 15% for høy markedspris</t>
        </r>
      </text>
    </comment>
    <comment ref="Q48" authorId="0" shapeId="0">
      <text>
        <r>
          <rPr>
            <b/>
            <sz val="9"/>
            <color indexed="81"/>
            <rFont val="Tahoma"/>
            <family val="2"/>
          </rPr>
          <t>Trond Ivar Bøhn:</t>
        </r>
        <r>
          <rPr>
            <sz val="9"/>
            <color indexed="81"/>
            <rFont val="Tahoma"/>
            <family val="2"/>
          </rPr>
          <t xml:space="preserve">
Legger på 15% for høy markedspris</t>
        </r>
      </text>
    </comment>
    <comment ref="R48"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48" authorId="0" shapeId="0">
      <text>
        <r>
          <rPr>
            <b/>
            <sz val="9"/>
            <color indexed="81"/>
            <rFont val="Tahoma"/>
            <family val="2"/>
          </rPr>
          <t>Trond Ivar Bøhn:</t>
        </r>
        <r>
          <rPr>
            <sz val="9"/>
            <color indexed="81"/>
            <rFont val="Tahoma"/>
            <family val="2"/>
          </rPr>
          <t xml:space="preserve">
Legger på 15% for høy markedspris</t>
        </r>
      </text>
    </comment>
    <comment ref="Q49" authorId="0" shapeId="0">
      <text>
        <r>
          <rPr>
            <b/>
            <sz val="9"/>
            <color indexed="81"/>
            <rFont val="Tahoma"/>
            <family val="2"/>
          </rPr>
          <t>Trond Ivar Bøhn:</t>
        </r>
        <r>
          <rPr>
            <sz val="9"/>
            <color indexed="81"/>
            <rFont val="Tahoma"/>
            <family val="2"/>
          </rPr>
          <t xml:space="preserve">
Legger på 15% for høy markedspris</t>
        </r>
      </text>
    </comment>
    <comment ref="R49"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49" authorId="0" shapeId="0">
      <text>
        <r>
          <rPr>
            <b/>
            <sz val="9"/>
            <color indexed="81"/>
            <rFont val="Tahoma"/>
            <family val="2"/>
          </rPr>
          <t>Trond Ivar Bøhn:</t>
        </r>
        <r>
          <rPr>
            <sz val="9"/>
            <color indexed="81"/>
            <rFont val="Tahoma"/>
            <family val="2"/>
          </rPr>
          <t xml:space="preserve">
Legger på 15% for høy markedspris</t>
        </r>
      </text>
    </comment>
    <comment ref="Q50" authorId="0" shapeId="0">
      <text>
        <r>
          <rPr>
            <b/>
            <sz val="9"/>
            <color indexed="81"/>
            <rFont val="Tahoma"/>
            <family val="2"/>
          </rPr>
          <t>Trond Ivar Bøhn:</t>
        </r>
        <r>
          <rPr>
            <sz val="9"/>
            <color indexed="81"/>
            <rFont val="Tahoma"/>
            <family val="2"/>
          </rPr>
          <t xml:space="preserve">
Legger på 15% for høy markedspris</t>
        </r>
      </text>
    </comment>
    <comment ref="R50"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50" authorId="0" shapeId="0">
      <text>
        <r>
          <rPr>
            <b/>
            <sz val="9"/>
            <color indexed="81"/>
            <rFont val="Tahoma"/>
            <family val="2"/>
          </rPr>
          <t>Trond Ivar Bøhn:</t>
        </r>
        <r>
          <rPr>
            <sz val="9"/>
            <color indexed="81"/>
            <rFont val="Tahoma"/>
            <family val="2"/>
          </rPr>
          <t xml:space="preserve">
Legger på 15% for høy markedspris</t>
        </r>
      </text>
    </comment>
    <comment ref="R51"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51" authorId="0" shapeId="0">
      <text>
        <r>
          <rPr>
            <b/>
            <sz val="9"/>
            <color indexed="81"/>
            <rFont val="Tahoma"/>
            <family val="2"/>
          </rPr>
          <t>Trond Ivar Bøhn:</t>
        </r>
        <r>
          <rPr>
            <sz val="9"/>
            <color indexed="81"/>
            <rFont val="Tahoma"/>
            <family val="2"/>
          </rPr>
          <t xml:space="preserve">
Legger på 15% for høy markedspris</t>
        </r>
      </text>
    </comment>
    <comment ref="R52"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52" authorId="0" shapeId="0">
      <text>
        <r>
          <rPr>
            <b/>
            <sz val="9"/>
            <color indexed="81"/>
            <rFont val="Tahoma"/>
            <family val="2"/>
          </rPr>
          <t>Trond Ivar Bøhn:</t>
        </r>
        <r>
          <rPr>
            <sz val="9"/>
            <color indexed="81"/>
            <rFont val="Tahoma"/>
            <family val="2"/>
          </rPr>
          <t xml:space="preserve">
Legger på 15% for høy markedspris</t>
        </r>
      </text>
    </comment>
    <comment ref="L53" authorId="0" shapeId="0">
      <text>
        <r>
          <rPr>
            <b/>
            <sz val="9"/>
            <color indexed="81"/>
            <rFont val="Tahoma"/>
            <family val="2"/>
          </rPr>
          <t>Trond Ivar Bøhn:</t>
        </r>
        <r>
          <rPr>
            <sz val="9"/>
            <color indexed="81"/>
            <rFont val="Tahoma"/>
            <family val="2"/>
          </rPr>
          <t xml:space="preserve">
Lagt til noe grunnet økt behov for isolasjonstykkelse pga lavere U-verdi på passivhusnivå enn øvrige næringsbygg
</t>
        </r>
      </text>
    </comment>
    <comment ref="M53" authorId="0" shapeId="0">
      <text>
        <r>
          <rPr>
            <b/>
            <sz val="9"/>
            <color indexed="81"/>
            <rFont val="Tahoma"/>
            <family val="2"/>
          </rPr>
          <t>Trond Ivar Bøhn:</t>
        </r>
        <r>
          <rPr>
            <sz val="9"/>
            <color indexed="81"/>
            <rFont val="Tahoma"/>
            <family val="2"/>
          </rPr>
          <t xml:space="preserve">
Lagt til noe grunnet økt behov for isolasjonstykkelse pga lavere U-verdi på passivhusnivå enn øvrige næringsbygg</t>
        </r>
      </text>
    </comment>
    <comment ref="R53"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53" authorId="0" shapeId="0">
      <text>
        <r>
          <rPr>
            <b/>
            <sz val="9"/>
            <color indexed="81"/>
            <rFont val="Tahoma"/>
            <family val="2"/>
          </rPr>
          <t>Trond Ivar Bøhn:</t>
        </r>
        <r>
          <rPr>
            <sz val="9"/>
            <color indexed="81"/>
            <rFont val="Tahoma"/>
            <family val="2"/>
          </rPr>
          <t xml:space="preserve">
Legger på 15% for høy markedspris</t>
        </r>
      </text>
    </comment>
    <comment ref="Q54" authorId="0" shapeId="0">
      <text>
        <r>
          <rPr>
            <b/>
            <sz val="9"/>
            <color indexed="81"/>
            <rFont val="Tahoma"/>
            <family val="2"/>
          </rPr>
          <t>Trond Ivar Bøhn:</t>
        </r>
        <r>
          <rPr>
            <sz val="9"/>
            <color indexed="81"/>
            <rFont val="Tahoma"/>
            <family val="2"/>
          </rPr>
          <t xml:space="preserve">
Legger på 15% for høy markedspris</t>
        </r>
      </text>
    </comment>
    <comment ref="R54"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54" authorId="0" shapeId="0">
      <text>
        <r>
          <rPr>
            <b/>
            <sz val="9"/>
            <color indexed="81"/>
            <rFont val="Tahoma"/>
            <family val="2"/>
          </rPr>
          <t>Trond Ivar Bøhn:</t>
        </r>
        <r>
          <rPr>
            <sz val="9"/>
            <color indexed="81"/>
            <rFont val="Tahoma"/>
            <family val="2"/>
          </rPr>
          <t xml:space="preserve">
Legger på 15% for høy markedspris</t>
        </r>
      </text>
    </comment>
    <comment ref="Q55" authorId="0" shapeId="0">
      <text>
        <r>
          <rPr>
            <b/>
            <sz val="9"/>
            <color indexed="81"/>
            <rFont val="Tahoma"/>
            <family val="2"/>
          </rPr>
          <t>Trond Ivar Bøhn:</t>
        </r>
        <r>
          <rPr>
            <sz val="9"/>
            <color indexed="81"/>
            <rFont val="Tahoma"/>
            <family val="2"/>
          </rPr>
          <t xml:space="preserve">
Legger på 15% for høy markedspris</t>
        </r>
      </text>
    </comment>
    <comment ref="R55" authorId="0" shapeId="0">
      <text>
        <r>
          <rPr>
            <b/>
            <sz val="9"/>
            <color indexed="81"/>
            <rFont val="Tahoma"/>
            <family val="2"/>
          </rPr>
          <t>Trond Ivar Bøhn:</t>
        </r>
        <r>
          <rPr>
            <sz val="9"/>
            <color indexed="81"/>
            <rFont val="Tahoma"/>
            <family val="2"/>
          </rPr>
          <t xml:space="preserve">
Redusert til 90 % av kostnad medium for å skille disse, antas mulig ift. markedspris og økende etterspørsel</t>
        </r>
      </text>
    </comment>
    <comment ref="T55" authorId="0" shapeId="0">
      <text>
        <r>
          <rPr>
            <b/>
            <sz val="9"/>
            <color indexed="81"/>
            <rFont val="Tahoma"/>
            <family val="2"/>
          </rPr>
          <t>Trond Ivar Bøhn:</t>
        </r>
        <r>
          <rPr>
            <sz val="9"/>
            <color indexed="81"/>
            <rFont val="Tahoma"/>
            <family val="2"/>
          </rPr>
          <t xml:space="preserve">
Legger på 15% for høy markedspris</t>
        </r>
      </text>
    </comment>
    <comment ref="L69" authorId="0" shapeId="0">
      <text>
        <r>
          <rPr>
            <b/>
            <sz val="9"/>
            <color indexed="81"/>
            <rFont val="Tahoma"/>
            <family val="2"/>
          </rPr>
          <t>Trond Ivar Bøhn:</t>
        </r>
        <r>
          <rPr>
            <sz val="9"/>
            <color indexed="81"/>
            <rFont val="Tahoma"/>
            <family val="2"/>
          </rPr>
          <t xml:space="preserve">
Grunnet økt behov for isolasjonstykkelse pga lavere U-verdi på passivhusnivå enn øvrige næringsbygg, har jeg lagt til 1/3-del av enhetskostnaden for selve isolasjonen og evt. oppforing.
</t>
        </r>
      </text>
    </comment>
    <comment ref="M69" authorId="0" shapeId="0">
      <text>
        <r>
          <rPr>
            <b/>
            <sz val="9"/>
            <color indexed="81"/>
            <rFont val="Tahoma"/>
            <family val="2"/>
          </rPr>
          <t>Trond Ivar Bøhn:</t>
        </r>
        <r>
          <rPr>
            <sz val="9"/>
            <color indexed="81"/>
            <rFont val="Tahoma"/>
            <family val="2"/>
          </rPr>
          <t xml:space="preserve">
Grunnet økt behov for isolasjonstykkelse pga lavere U-verdi på passivhusnivå enn øvrige næringsbygg, har jeg lagt til 1/3-del av enhetskostnaden for selve isolasjonen og evt. oppforing.</t>
        </r>
      </text>
    </comment>
    <comment ref="N69" authorId="0" shapeId="0">
      <text>
        <r>
          <rPr>
            <b/>
            <sz val="9"/>
            <color indexed="81"/>
            <rFont val="Tahoma"/>
            <family val="2"/>
          </rPr>
          <t>Trond Ivar Bøhn:</t>
        </r>
        <r>
          <rPr>
            <sz val="9"/>
            <color indexed="81"/>
            <rFont val="Tahoma"/>
            <family val="2"/>
          </rPr>
          <t xml:space="preserve">
Grunnet økt behov for isolasjonstykkelse pga lavere U-verdi på passivhusnivå enn øvrige næringsbygg, har jeg lagt til 1/3-del av enhetskostnaden for selve isolasjonen og evt. oppforing.</t>
        </r>
      </text>
    </comment>
    <comment ref="G85" authorId="1" shapeId="0">
      <text>
        <r>
          <rPr>
            <b/>
            <sz val="9"/>
            <color indexed="81"/>
            <rFont val="Tahoma"/>
            <family val="2"/>
          </rPr>
          <t>Preben Jensen:</t>
        </r>
        <r>
          <rPr>
            <sz val="9"/>
            <color indexed="81"/>
            <rFont val="Tahoma"/>
            <family val="2"/>
          </rPr>
          <t xml:space="preserve">
Forutsatt vindu 1,1x1,2
Pris per vindu kr 2000.
Dvs. 2000/(1,1x1,2)x32/160= kr 300,- per m2 fasade
</t>
        </r>
      </text>
    </comment>
    <comment ref="B119"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E119"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H119"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D121"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G121"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J121"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D122"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G122"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J122"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D159" authorId="0" shapeId="0">
      <text>
        <r>
          <rPr>
            <b/>
            <sz val="9"/>
            <color indexed="81"/>
            <rFont val="Tahoma"/>
            <family val="2"/>
          </rPr>
          <t>Trond Ivar Bøhn:</t>
        </r>
        <r>
          <rPr>
            <sz val="9"/>
            <color indexed="81"/>
            <rFont val="Tahoma"/>
            <family val="2"/>
          </rPr>
          <t xml:space="preserve">
Antar ny solskjerming nødvendig</t>
        </r>
      </text>
    </comment>
    <comment ref="G159" authorId="0" shapeId="0">
      <text>
        <r>
          <rPr>
            <b/>
            <sz val="9"/>
            <color indexed="81"/>
            <rFont val="Tahoma"/>
            <family val="2"/>
          </rPr>
          <t>Trond Ivar Bøhn:</t>
        </r>
        <r>
          <rPr>
            <sz val="9"/>
            <color indexed="81"/>
            <rFont val="Tahoma"/>
            <family val="2"/>
          </rPr>
          <t xml:space="preserve">
Antar gjenbruk av eksisterende solskjerming</t>
        </r>
      </text>
    </comment>
    <comment ref="J159" authorId="0" shapeId="0">
      <text>
        <r>
          <rPr>
            <b/>
            <sz val="9"/>
            <color indexed="81"/>
            <rFont val="Tahoma"/>
            <family val="2"/>
          </rPr>
          <t>Trond Ivar Bøhn:</t>
        </r>
        <r>
          <rPr>
            <sz val="9"/>
            <color indexed="81"/>
            <rFont val="Tahoma"/>
            <family val="2"/>
          </rPr>
          <t xml:space="preserve">
Antar gjenbruk av eksisterende solskjerming</t>
        </r>
      </text>
    </comment>
    <comment ref="G169" authorId="1" shapeId="0">
      <text>
        <r>
          <rPr>
            <b/>
            <sz val="9"/>
            <color indexed="81"/>
            <rFont val="Tahoma"/>
            <family val="2"/>
          </rPr>
          <t>Preben Jensen:</t>
        </r>
        <r>
          <rPr>
            <sz val="9"/>
            <color indexed="81"/>
            <rFont val="Tahoma"/>
            <family val="2"/>
          </rPr>
          <t xml:space="preserve">
Forutsatt vindu 1,1x1,2
Pris per vindu kr 2500.
Dvs. 2500/(1,1x1,2)x180/458
= kr 750,- per m2 fasade
</t>
        </r>
      </text>
    </comment>
    <comment ref="J178"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 (Der det er nødvendig er enhetsprisen 1390.)</t>
        </r>
      </text>
    </comment>
    <comment ref="B190"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E190"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H190"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D192"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G192"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J192"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D193"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G193"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J193"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D196" authorId="1" shapeId="0">
      <text>
        <r>
          <rPr>
            <b/>
            <sz val="9"/>
            <color indexed="81"/>
            <rFont val="Tahoma"/>
            <family val="2"/>
          </rPr>
          <t>Preben Jensen:</t>
        </r>
        <r>
          <rPr>
            <sz val="9"/>
            <color indexed="81"/>
            <rFont val="Tahoma"/>
            <family val="2"/>
          </rPr>
          <t xml:space="preserve">
Forutsatt 300 m2 loft, herav 150 m til boder, hver bod 5 m2, dvs. 30 stk.
30x550,-/300m2=55,-/m2 loft
</t>
        </r>
      </text>
    </comment>
    <comment ref="D202" authorId="1" shapeId="0">
      <text>
        <r>
          <rPr>
            <b/>
            <sz val="9"/>
            <color indexed="81"/>
            <rFont val="Tahoma"/>
            <family val="2"/>
          </rPr>
          <t>Preben Jensen:</t>
        </r>
        <r>
          <rPr>
            <sz val="9"/>
            <color indexed="81"/>
            <rFont val="Tahoma"/>
            <family val="2"/>
          </rPr>
          <t xml:space="preserve">
Forutsatt 300 m2 loft, herav 150 m2 bod, hver bod 5 m2, dvs. 30 stk.
30x550x4/300=220,-/m2 loft
</t>
        </r>
      </text>
    </comment>
    <comment ref="D208" authorId="1" shapeId="0">
      <text>
        <r>
          <rPr>
            <b/>
            <sz val="9"/>
            <color indexed="81"/>
            <rFont val="Tahoma"/>
            <family val="2"/>
          </rPr>
          <t>Preben Jensen:</t>
        </r>
        <r>
          <rPr>
            <sz val="9"/>
            <color indexed="81"/>
            <rFont val="Tahoma"/>
            <family val="2"/>
          </rPr>
          <t xml:space="preserve">
Forutsatt 300 m2 loft, herav 150 m til boder, hver bod 5 m2, dvs. 30 stk.
30x550,-/300m2=55,-/m2 loft
</t>
        </r>
      </text>
    </comment>
    <comment ref="D214" authorId="1" shapeId="0">
      <text>
        <r>
          <rPr>
            <b/>
            <sz val="9"/>
            <color indexed="81"/>
            <rFont val="Tahoma"/>
            <family val="2"/>
          </rPr>
          <t>Preben Jensen:</t>
        </r>
        <r>
          <rPr>
            <sz val="9"/>
            <color indexed="81"/>
            <rFont val="Tahoma"/>
            <family val="2"/>
          </rPr>
          <t xml:space="preserve">
Forutsatt 300 m2 loft, herav 150 m2 bod, hver bod 5 m2, dvs. 30 stk.
30x550x4/300=220,-/m2 loft
</t>
        </r>
      </text>
    </comment>
    <comment ref="D234" authorId="0" shapeId="0">
      <text>
        <r>
          <rPr>
            <b/>
            <sz val="9"/>
            <color indexed="81"/>
            <rFont val="Tahoma"/>
            <family val="2"/>
          </rPr>
          <t>Trond Ivar Bøhn:</t>
        </r>
        <r>
          <rPr>
            <sz val="9"/>
            <color indexed="81"/>
            <rFont val="Tahoma"/>
            <family val="2"/>
          </rPr>
          <t xml:space="preserve">
Antar ny solskjerming nødvendig</t>
        </r>
      </text>
    </comment>
    <comment ref="G234" authorId="0" shapeId="0">
      <text>
        <r>
          <rPr>
            <b/>
            <sz val="9"/>
            <color indexed="81"/>
            <rFont val="Tahoma"/>
            <family val="2"/>
          </rPr>
          <t>Trond Ivar Bøhn:</t>
        </r>
        <r>
          <rPr>
            <sz val="9"/>
            <color indexed="81"/>
            <rFont val="Tahoma"/>
            <family val="2"/>
          </rPr>
          <t xml:space="preserve">
Antar gjenbruk av eksisterende solskjerming</t>
        </r>
      </text>
    </comment>
    <comment ref="J234" authorId="0" shapeId="0">
      <text>
        <r>
          <rPr>
            <b/>
            <sz val="9"/>
            <color indexed="81"/>
            <rFont val="Tahoma"/>
            <family val="2"/>
          </rPr>
          <t>Trond Ivar Bøhn:</t>
        </r>
        <r>
          <rPr>
            <sz val="9"/>
            <color indexed="81"/>
            <rFont val="Tahoma"/>
            <family val="2"/>
          </rPr>
          <t xml:space="preserve">
Antar gjenbruk av eksisterende solskjerming</t>
        </r>
      </text>
    </comment>
    <comment ref="G244" authorId="1" shapeId="0">
      <text>
        <r>
          <rPr>
            <b/>
            <sz val="9"/>
            <color indexed="81"/>
            <rFont val="Tahoma"/>
            <family val="2"/>
          </rPr>
          <t>Preben Jensen:</t>
        </r>
        <r>
          <rPr>
            <sz val="9"/>
            <color indexed="81"/>
            <rFont val="Tahoma"/>
            <family val="2"/>
          </rPr>
          <t xml:space="preserve">
Forutsatt vindu 1,1x1,2
Pris per vindu kr 2500.
Dvs. 2500/(1,1x1,2)x720/796
= kr 1700,- per m2 fasade</t>
        </r>
      </text>
    </comment>
    <comment ref="J247" authorId="1" shapeId="0">
      <text>
        <r>
          <rPr>
            <b/>
            <sz val="9"/>
            <color indexed="81"/>
            <rFont val="Tahoma"/>
            <family val="2"/>
          </rPr>
          <t>Preben Jensen:</t>
        </r>
        <r>
          <rPr>
            <sz val="9"/>
            <color indexed="81"/>
            <rFont val="Tahoma"/>
            <family val="2"/>
          </rPr>
          <t xml:space="preserve">
Forutsatt vindu 1,1x1,2
Pris per vindu kr 2500.
Dvs. 2500/(1,1x1,2)x720/796
= kr 1700,- per m2 fasade</t>
        </r>
      </text>
    </comment>
    <comment ref="B265"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E265"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H265" authorId="0" shapeId="0">
      <text>
        <r>
          <rPr>
            <b/>
            <sz val="9"/>
            <color indexed="81"/>
            <rFont val="Tahoma"/>
            <family val="2"/>
          </rPr>
          <t>Trond Ivar Bøhn:</t>
        </r>
        <r>
          <rPr>
            <sz val="9"/>
            <color indexed="81"/>
            <rFont val="Tahoma"/>
            <family val="2"/>
          </rPr>
          <t xml:space="preserve">
Regner ikke rigg og drift i merkostnaden, da dette uansett er en kostnad ved utskiftning kledning / puss fasade</t>
        </r>
      </text>
    </comment>
    <comment ref="D267"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G267"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J267"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D268"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G268"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J268" authorId="0" shapeId="0">
      <text>
        <r>
          <rPr>
            <b/>
            <sz val="9"/>
            <color indexed="81"/>
            <rFont val="Tahoma"/>
            <family val="2"/>
          </rPr>
          <t>Trond Ivar Bøhn:</t>
        </r>
        <r>
          <rPr>
            <sz val="9"/>
            <color indexed="81"/>
            <rFont val="Tahoma"/>
            <family val="2"/>
          </rPr>
          <t xml:space="preserve">
Antar for laveste kostnad at takutstikket fra før er godt nok, slik at det ikke er nødvendig å forlenge taket.</t>
        </r>
      </text>
    </comment>
    <comment ref="D303" authorId="0" shapeId="0">
      <text>
        <r>
          <rPr>
            <b/>
            <sz val="9"/>
            <color indexed="81"/>
            <rFont val="Tahoma"/>
            <family val="2"/>
          </rPr>
          <t>Trond Ivar Bøhn:</t>
        </r>
        <r>
          <rPr>
            <sz val="9"/>
            <color indexed="81"/>
            <rFont val="Tahoma"/>
            <family val="2"/>
          </rPr>
          <t xml:space="preserve">
Antar ny solskjerming nødvendig</t>
        </r>
      </text>
    </comment>
    <comment ref="G303" authorId="0" shapeId="0">
      <text>
        <r>
          <rPr>
            <b/>
            <sz val="9"/>
            <color indexed="81"/>
            <rFont val="Tahoma"/>
            <family val="2"/>
          </rPr>
          <t>Trond Ivar Bøhn:</t>
        </r>
        <r>
          <rPr>
            <sz val="9"/>
            <color indexed="81"/>
            <rFont val="Tahoma"/>
            <family val="2"/>
          </rPr>
          <t xml:space="preserve">
Antar gjenbruk av eksisterende solskjerming</t>
        </r>
      </text>
    </comment>
    <comment ref="J303" authorId="0" shapeId="0">
      <text>
        <r>
          <rPr>
            <b/>
            <sz val="9"/>
            <color indexed="81"/>
            <rFont val="Tahoma"/>
            <family val="2"/>
          </rPr>
          <t>Trond Ivar Bøhn:</t>
        </r>
        <r>
          <rPr>
            <sz val="9"/>
            <color indexed="81"/>
            <rFont val="Tahoma"/>
            <family val="2"/>
          </rPr>
          <t xml:space="preserve">
Antar gjenbruk av eksisterende solskjerming</t>
        </r>
      </text>
    </comment>
  </commentList>
</comments>
</file>

<file path=xl/comments9.xml><?xml version="1.0" encoding="utf-8"?>
<comments xmlns="http://schemas.openxmlformats.org/spreadsheetml/2006/main">
  <authors>
    <author>Trond Ivar Bøhn</author>
  </authors>
  <commentList>
    <comment ref="A12" authorId="0" shapeId="0">
      <text>
        <r>
          <rPr>
            <b/>
            <sz val="9"/>
            <color indexed="81"/>
            <rFont val="Tahoma"/>
            <family val="2"/>
          </rPr>
          <t>Trond Ivar Bøhn:</t>
        </r>
        <r>
          <rPr>
            <sz val="9"/>
            <color indexed="81"/>
            <rFont val="Tahoma"/>
            <family val="2"/>
          </rPr>
          <t xml:space="preserve">
Om det etableres sentralt anlegg for hele blokka eller skapanlegg lokalt i hver leilighet utgjør vel muligens en kostnadsdifferanse, som kan benyttes til å lage intervall lav-median-høy her? Kan regne 12 leiligheter i boligblokka på 900m2.</t>
        </r>
      </text>
    </comment>
    <comment ref="A18" authorId="0" shapeId="0">
      <text>
        <r>
          <rPr>
            <b/>
            <sz val="9"/>
            <color indexed="81"/>
            <rFont val="Tahoma"/>
            <family val="2"/>
          </rPr>
          <t>Trond Ivar Bøhn:</t>
        </r>
        <r>
          <rPr>
            <sz val="9"/>
            <color indexed="81"/>
            <rFont val="Tahoma"/>
            <family val="2"/>
          </rPr>
          <t xml:space="preserve">
Må forutsette at ventilasjonen har blitt oppgradert på et senere tidspunkt. For med kun mekanisk avtrekk og små luftmengder som var vanlig i 1969 og tiden etter, tilfredsstilte man ikke arbeidsmiljøloven (444) som kom i 1991. Og man ville sannsynligvis ikke få leid ut. Derfor er ikke etablering av balansert ventilasjon noe alternativ kostnad her (fordi det allerede er gjort).</t>
        </r>
      </text>
    </comment>
    <comment ref="C39" authorId="0" shapeId="0">
      <text>
        <r>
          <rPr>
            <b/>
            <sz val="9"/>
            <color indexed="81"/>
            <rFont val="Tahoma"/>
            <family val="2"/>
          </rPr>
          <t>Trond Ivar Bøhn:</t>
        </r>
        <r>
          <rPr>
            <sz val="9"/>
            <color indexed="81"/>
            <rFont val="Tahoma"/>
            <family val="2"/>
          </rPr>
          <t xml:space="preserve">
Holte: Flatt terreng, høy standard, prisjustert til 2014</t>
        </r>
      </text>
    </comment>
    <comment ref="E39" authorId="0" shapeId="0">
      <text>
        <r>
          <rPr>
            <b/>
            <sz val="9"/>
            <color indexed="81"/>
            <rFont val="Tahoma"/>
            <family val="2"/>
          </rPr>
          <t>Trond Ivar Bøhn:</t>
        </r>
        <r>
          <rPr>
            <sz val="9"/>
            <color indexed="81"/>
            <rFont val="Tahoma"/>
            <family val="2"/>
          </rPr>
          <t xml:space="preserve">
Norsk Prisbok 2014. Komplett vent.anlegg 651,- for hoveddel og 130,- for kjellerdel. Antar representativt 520,-</t>
        </r>
      </text>
    </comment>
    <comment ref="C40" authorId="0" shapeId="0">
      <text>
        <r>
          <rPr>
            <b/>
            <sz val="9"/>
            <color indexed="81"/>
            <rFont val="Tahoma"/>
            <family val="2"/>
          </rPr>
          <t>Trond Ivar Bøhn:</t>
        </r>
        <r>
          <rPr>
            <sz val="9"/>
            <color indexed="81"/>
            <rFont val="Tahoma"/>
            <family val="2"/>
          </rPr>
          <t xml:space="preserve">
Holte: Boligblokk midtkorridor, høy standard, prisjustert til 2014</t>
        </r>
      </text>
    </comment>
    <comment ref="E40" authorId="0" shapeId="0">
      <text>
        <r>
          <rPr>
            <b/>
            <sz val="9"/>
            <color indexed="81"/>
            <rFont val="Tahoma"/>
            <family val="2"/>
          </rPr>
          <t>Trond Ivar Bøhn:</t>
        </r>
        <r>
          <rPr>
            <sz val="9"/>
            <color indexed="81"/>
            <rFont val="Tahoma"/>
            <family val="2"/>
          </rPr>
          <t xml:space="preserve">
Antar samme forholdstall mellom lav-høy som for småhus</t>
        </r>
      </text>
    </comment>
    <comment ref="C41" authorId="0" shapeId="0">
      <text>
        <r>
          <rPr>
            <sz val="9"/>
            <color indexed="81"/>
            <rFont val="Tahoma"/>
            <family val="2"/>
          </rPr>
          <t>Antar samme spesifikke kostnad som for kontorbygg</t>
        </r>
      </text>
    </comment>
    <comment ref="D41" authorId="0" shapeId="0">
      <text>
        <r>
          <rPr>
            <sz val="9"/>
            <color indexed="81"/>
            <rFont val="Tahoma"/>
            <family val="2"/>
          </rPr>
          <t>Antar samme spesifikke kostnad som for kontorbygg</t>
        </r>
      </text>
    </comment>
    <comment ref="E41" authorId="0" shapeId="0">
      <text>
        <r>
          <rPr>
            <sz val="9"/>
            <color indexed="81"/>
            <rFont val="Tahoma"/>
            <family val="2"/>
          </rPr>
          <t>Antar samme spesifikke kostnad som for kontorbygg</t>
        </r>
      </text>
    </comment>
    <comment ref="F41" authorId="0" shapeId="0">
      <text>
        <r>
          <rPr>
            <sz val="9"/>
            <color indexed="81"/>
            <rFont val="Tahoma"/>
            <family val="2"/>
          </rPr>
          <t>Antar samme spesifikke kostnad som for kontorbygg</t>
        </r>
      </text>
    </comment>
    <comment ref="G41" authorId="0" shapeId="0">
      <text>
        <r>
          <rPr>
            <sz val="9"/>
            <color indexed="81"/>
            <rFont val="Tahoma"/>
            <family val="2"/>
          </rPr>
          <t>Antar samme spesifikke kostnad som for kontorbygg</t>
        </r>
      </text>
    </comment>
    <comment ref="H41" authorId="0" shapeId="0">
      <text>
        <r>
          <rPr>
            <sz val="9"/>
            <color indexed="81"/>
            <rFont val="Tahoma"/>
            <family val="2"/>
          </rPr>
          <t>Antar samme spesifikke kostnad som for kontorbygg</t>
        </r>
      </text>
    </comment>
    <comment ref="I41"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1"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1" authorId="0" shapeId="0">
      <text>
        <r>
          <rPr>
            <b/>
            <sz val="9"/>
            <color indexed="81"/>
            <rFont val="Tahoma"/>
            <family val="2"/>
          </rPr>
          <t>Trond Ivar Bøhn:</t>
        </r>
        <r>
          <rPr>
            <sz val="9"/>
            <color indexed="81"/>
            <rFont val="Tahoma"/>
            <family val="2"/>
          </rPr>
          <t xml:space="preserve">
Legger på 20 % for høy kompleksitet og høy markedspris</t>
        </r>
      </text>
    </comment>
    <comment ref="Q41"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2" authorId="0" shapeId="0">
      <text>
        <r>
          <rPr>
            <b/>
            <sz val="9"/>
            <color indexed="81"/>
            <rFont val="Tahoma"/>
            <family val="2"/>
          </rPr>
          <t>Hentet fra potensialstudien Enova, 2011:</t>
        </r>
        <r>
          <rPr>
            <sz val="9"/>
            <color indexed="81"/>
            <rFont val="Tahoma"/>
            <family val="2"/>
          </rPr>
          <t xml:space="preserve">
Høyeffektiv roterende gjenvinner der dette er mulig, alternativt varmepumpeløsning i eksisterende aggregat. VP-anlegg (DX-anlegg) ca 100.000kr for aggreagt 15.000m3 som gir ca 7 kr/m3. Gitt et bygg på 3600m2 med 2 slike aggregat, blir det ca 60 kr/m2
Fra prosjekt for Oslo Areal i 2014 hvor det ble hentet inn tilbud fra Randem&amp;Hubert på ombygging av aggregat fra plategjenvinner til roterende gjenvinner. Inkl. kostnader for de- og remontering av rør samt nødvendige elektro- og automatikk arbeider. Inkl. arbeid og bortkjøring. Gjennomsnitt 4 aggregat er 8,5 kr/m3. For kontorbygg 10m3/m2 blir det 85 kr/m2. 
</t>
        </r>
      </text>
    </comment>
    <comment ref="D42" authorId="0" shapeId="0">
      <text>
        <r>
          <rPr>
            <b/>
            <sz val="9"/>
            <color indexed="81"/>
            <rFont val="Tahoma"/>
            <family val="2"/>
          </rPr>
          <t>Trond Ivar Bøhn:</t>
        </r>
        <r>
          <rPr>
            <sz val="9"/>
            <color indexed="81"/>
            <rFont val="Tahoma"/>
            <family val="2"/>
          </rPr>
          <t xml:space="preserve">
Fra prosjekt for Oslo Areal i 2014 hvor det ble hentet inn tilbud fra Randem&amp;Hubert på utskifting til nytt aggregat. Inkl. kostnader for riving, bortkjøring. Elektro og automasjon. Alle arbeider. NB! Trangt teknisk rom, og lav takhøyde medførte split av luftstrøm i nytt aggregat til 2 stk roterende varmegjenvinnere. Sum 890.000kr eks.mva. Tilsvarte 190 kr/m2 for det kontorbygget. </t>
        </r>
      </text>
    </comment>
    <comment ref="E42" authorId="0" shapeId="0">
      <text>
        <r>
          <rPr>
            <b/>
            <sz val="9"/>
            <color indexed="81"/>
            <rFont val="Tahoma"/>
            <family val="2"/>
          </rPr>
          <t>Trond Ivar Bøhn:</t>
        </r>
        <r>
          <rPr>
            <sz val="9"/>
            <color indexed="81"/>
            <rFont val="Tahoma"/>
            <family val="2"/>
          </rPr>
          <t xml:space="preserve">
Norsk prisbok 2014 Nytt aggregat 357 kr/m2
</t>
        </r>
      </text>
    </comment>
    <comment ref="F42" authorId="0" shapeId="0">
      <text>
        <r>
          <rPr>
            <b/>
            <sz val="9"/>
            <color indexed="81"/>
            <rFont val="Tahoma"/>
            <family val="2"/>
          </rPr>
          <t>Trond Ivar Bøhn:</t>
        </r>
        <r>
          <rPr>
            <sz val="9"/>
            <color indexed="81"/>
            <rFont val="Tahoma"/>
            <family val="2"/>
          </rPr>
          <t xml:space="preserve">
Fra prosjekt for Oslo Areal i 2012 hvor det ifm energivurdering av ventilasjonsanlegg kom overslagspris fra GK på nye direktedrevne vifter inkl arbeid og bortkjøring.Tilsvarte 24 kr/m3. For kontorbygg 10m3/m², og i 2014 blir det ca 25 kr/m2</t>
        </r>
      </text>
    </comment>
    <comment ref="G42" authorId="0" shapeId="0">
      <text>
        <r>
          <rPr>
            <b/>
            <sz val="9"/>
            <color indexed="81"/>
            <rFont val="Tahoma"/>
            <family val="2"/>
          </rPr>
          <t>Fra potensialstudien Enova, 2011:</t>
        </r>
        <r>
          <rPr>
            <sz val="9"/>
            <color indexed="81"/>
            <rFont val="Tahoma"/>
            <family val="2"/>
          </rPr>
          <t xml:space="preserve">
Nye vifter, motorer og frekvensomformere. Ca 60.000kr for aggregat 15.000m3/h (2 vifter og 2 frekvensomformere). Gitt et bygg på 3600m2 med 2 slike aggregat, blir det ca 35 kr/m²
</t>
        </r>
        <r>
          <rPr>
            <b/>
            <sz val="9"/>
            <color indexed="81"/>
            <rFont val="Tahoma"/>
            <family val="2"/>
          </rPr>
          <t xml:space="preserve">
Trond Ivar Bøhn:</t>
        </r>
        <r>
          <rPr>
            <sz val="9"/>
            <color indexed="81"/>
            <rFont val="Tahoma"/>
            <family val="2"/>
          </rPr>
          <t xml:space="preserve">
Fra prosjekt for Oslo Areal i 2014 hvor det ble hentet inn tilbud fra Randem&amp;Hubert på nye direktedrevne vifter inkl arbeid og bortkjøring. Gjennomsnitt 2 aggregat er 3,2 kr/m3. For kontorbygg 10m3/m2 blir det 32 kr/m2</t>
        </r>
      </text>
    </comment>
    <comment ref="H42" authorId="0" shapeId="0">
      <text>
        <r>
          <rPr>
            <b/>
            <sz val="9"/>
            <color indexed="81"/>
            <rFont val="Tahoma"/>
            <family val="2"/>
          </rPr>
          <t>Trond Ivar Bøhn:</t>
        </r>
        <r>
          <rPr>
            <sz val="9"/>
            <color indexed="81"/>
            <rFont val="Tahoma"/>
            <family val="2"/>
          </rPr>
          <t xml:space="preserve">
Norsk prisbok 2014 Nytt aggregat 357 kr/m2
Fra prosjekt for Oslo Areal i 2014 hvor det ble hentet inn tilbud fra Randem&amp;Hubert på utskifting til nytt aggregat. Inkl. kostnader for riving, bortkjøring. Elektro og automasjon. Alle arbeider. NB! Trangt teknisk rom, og lav takhøyde medførte split av luftstrøm i nytt aggregat til 2 stk roterende varmegjenvinnere. Sum 890.000kr eks.mva. Tilsvarte 190 kr/m2 for det kontorbygget. 
</t>
        </r>
      </text>
    </comment>
    <comment ref="J42"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2" authorId="0" shapeId="0">
      <text>
        <r>
          <rPr>
            <b/>
            <sz val="9"/>
            <color indexed="81"/>
            <rFont val="Tahoma"/>
            <family val="2"/>
          </rPr>
          <t>Trond Ivar Bøhn:</t>
        </r>
        <r>
          <rPr>
            <sz val="9"/>
            <color indexed="81"/>
            <rFont val="Tahoma"/>
            <family val="2"/>
          </rPr>
          <t xml:space="preserve">
Legger på 20 % for høy kompleksitet og høy markedspris</t>
        </r>
      </text>
    </comment>
    <comment ref="Q42" authorId="0" shapeId="0">
      <text>
        <r>
          <rPr>
            <b/>
            <sz val="9"/>
            <color indexed="81"/>
            <rFont val="Tahoma"/>
            <family val="2"/>
          </rPr>
          <t>Fra potensialstudien Enova, 2011:</t>
        </r>
        <r>
          <rPr>
            <sz val="9"/>
            <color indexed="81"/>
            <rFont val="Tahoma"/>
            <family val="2"/>
          </rPr>
          <t xml:space="preserve">
Kostnadsanslag basert på: 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3" authorId="0" shapeId="0">
      <text>
        <r>
          <rPr>
            <sz val="9"/>
            <color indexed="81"/>
            <rFont val="Tahoma"/>
            <family val="2"/>
          </rPr>
          <t>Antar samme spesifikke kostnad som for kontorbygg</t>
        </r>
      </text>
    </comment>
    <comment ref="D43" authorId="0" shapeId="0">
      <text>
        <r>
          <rPr>
            <sz val="9"/>
            <color indexed="81"/>
            <rFont val="Tahoma"/>
            <family val="2"/>
          </rPr>
          <t>Antar samme spesifikke kostnad som for kontorbygg</t>
        </r>
      </text>
    </comment>
    <comment ref="E43" authorId="0" shapeId="0">
      <text>
        <r>
          <rPr>
            <sz val="9"/>
            <color indexed="81"/>
            <rFont val="Tahoma"/>
            <family val="2"/>
          </rPr>
          <t>Antar samme spesifikke kostnad som for kontorbygg</t>
        </r>
      </text>
    </comment>
    <comment ref="F43" authorId="0" shapeId="0">
      <text>
        <r>
          <rPr>
            <sz val="9"/>
            <color indexed="81"/>
            <rFont val="Tahoma"/>
            <family val="2"/>
          </rPr>
          <t>Antar samme spesifikke kostnad som for kontorbygg</t>
        </r>
      </text>
    </comment>
    <comment ref="G43" authorId="0" shapeId="0">
      <text>
        <r>
          <rPr>
            <sz val="9"/>
            <color indexed="81"/>
            <rFont val="Tahoma"/>
            <family val="2"/>
          </rPr>
          <t>Antar samme spesifikke kostnad som for kontorbygg</t>
        </r>
      </text>
    </comment>
    <comment ref="H43" authorId="0" shapeId="0">
      <text>
        <r>
          <rPr>
            <sz val="9"/>
            <color indexed="81"/>
            <rFont val="Tahoma"/>
            <family val="2"/>
          </rPr>
          <t>Antar samme spesifikke kostnad som for kontorbygg</t>
        </r>
      </text>
    </comment>
    <comment ref="I43"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3"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3" authorId="0" shapeId="0">
      <text>
        <r>
          <rPr>
            <b/>
            <sz val="9"/>
            <color indexed="81"/>
            <rFont val="Tahoma"/>
            <family val="2"/>
          </rPr>
          <t>Trond Ivar Bøhn:</t>
        </r>
        <r>
          <rPr>
            <sz val="9"/>
            <color indexed="81"/>
            <rFont val="Tahoma"/>
            <family val="2"/>
          </rPr>
          <t xml:space="preserve">
Legger på 20 % for høy kompleksitet og høy markedspris</t>
        </r>
      </text>
    </comment>
    <comment ref="Q43"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4" authorId="0" shapeId="0">
      <text>
        <r>
          <rPr>
            <sz val="9"/>
            <color indexed="81"/>
            <rFont val="Tahoma"/>
            <family val="2"/>
          </rPr>
          <t>Antar samme spesifikke kostnad som for kontorbygg</t>
        </r>
      </text>
    </comment>
    <comment ref="D44" authorId="0" shapeId="0">
      <text>
        <r>
          <rPr>
            <sz val="9"/>
            <color indexed="81"/>
            <rFont val="Tahoma"/>
            <family val="2"/>
          </rPr>
          <t>Antar samme spesifikke kostnad som for kontorbygg</t>
        </r>
      </text>
    </comment>
    <comment ref="E44" authorId="0" shapeId="0">
      <text>
        <r>
          <rPr>
            <sz val="9"/>
            <color indexed="81"/>
            <rFont val="Tahoma"/>
            <family val="2"/>
          </rPr>
          <t>Antar samme spesifikke kostnad som for kontorbygg</t>
        </r>
      </text>
    </comment>
    <comment ref="F44" authorId="0" shapeId="0">
      <text>
        <r>
          <rPr>
            <sz val="9"/>
            <color indexed="81"/>
            <rFont val="Tahoma"/>
            <family val="2"/>
          </rPr>
          <t>Antar samme spesifikke kostnad som for kontorbygg</t>
        </r>
      </text>
    </comment>
    <comment ref="G44" authorId="0" shapeId="0">
      <text>
        <r>
          <rPr>
            <sz val="9"/>
            <color indexed="81"/>
            <rFont val="Tahoma"/>
            <family val="2"/>
          </rPr>
          <t>Antar samme spesifikke kostnad som for kontorbygg</t>
        </r>
      </text>
    </comment>
    <comment ref="H44" authorId="0" shapeId="0">
      <text>
        <r>
          <rPr>
            <sz val="9"/>
            <color indexed="81"/>
            <rFont val="Tahoma"/>
            <family val="2"/>
          </rPr>
          <t>Antar samme spesifikke kostnad som for kontorbygg</t>
        </r>
      </text>
    </comment>
    <comment ref="I44"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4"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4" authorId="0" shapeId="0">
      <text>
        <r>
          <rPr>
            <b/>
            <sz val="9"/>
            <color indexed="81"/>
            <rFont val="Tahoma"/>
            <family val="2"/>
          </rPr>
          <t>Trond Ivar Bøhn:</t>
        </r>
        <r>
          <rPr>
            <sz val="9"/>
            <color indexed="81"/>
            <rFont val="Tahoma"/>
            <family val="2"/>
          </rPr>
          <t xml:space="preserve">
Legger på 20 % for høy kompleksitet og høy markedspris</t>
        </r>
      </text>
    </comment>
    <comment ref="Q44"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5" authorId="0" shapeId="0">
      <text>
        <r>
          <rPr>
            <sz val="9"/>
            <color indexed="81"/>
            <rFont val="Tahoma"/>
            <family val="2"/>
          </rPr>
          <t>Antar samme spesifikke kostnad som for kontorbygg</t>
        </r>
      </text>
    </comment>
    <comment ref="D45" authorId="0" shapeId="0">
      <text>
        <r>
          <rPr>
            <sz val="9"/>
            <color indexed="81"/>
            <rFont val="Tahoma"/>
            <family val="2"/>
          </rPr>
          <t>Antar samme spesifikke kostnad som for kontorbygg</t>
        </r>
      </text>
    </comment>
    <comment ref="E45" authorId="0" shapeId="0">
      <text>
        <r>
          <rPr>
            <sz val="9"/>
            <color indexed="81"/>
            <rFont val="Tahoma"/>
            <family val="2"/>
          </rPr>
          <t>Antar samme spesifikke kostnad som for kontorbygg</t>
        </r>
      </text>
    </comment>
    <comment ref="F45" authorId="0" shapeId="0">
      <text>
        <r>
          <rPr>
            <sz val="9"/>
            <color indexed="81"/>
            <rFont val="Tahoma"/>
            <family val="2"/>
          </rPr>
          <t>Antar samme spesifikke kostnad som for kontorbygg</t>
        </r>
      </text>
    </comment>
    <comment ref="G45" authorId="0" shapeId="0">
      <text>
        <r>
          <rPr>
            <sz val="9"/>
            <color indexed="81"/>
            <rFont val="Tahoma"/>
            <family val="2"/>
          </rPr>
          <t>Antar samme spesifikke kostnad som for kontorbygg</t>
        </r>
      </text>
    </comment>
    <comment ref="H45" authorId="0" shapeId="0">
      <text>
        <r>
          <rPr>
            <sz val="9"/>
            <color indexed="81"/>
            <rFont val="Tahoma"/>
            <family val="2"/>
          </rPr>
          <t>Antar samme spesifikke kostnad som for kontorbygg</t>
        </r>
      </text>
    </comment>
    <comment ref="I45"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5"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5" authorId="0" shapeId="0">
      <text>
        <r>
          <rPr>
            <b/>
            <sz val="9"/>
            <color indexed="81"/>
            <rFont val="Tahoma"/>
            <family val="2"/>
          </rPr>
          <t>Trond Ivar Bøhn:</t>
        </r>
        <r>
          <rPr>
            <sz val="9"/>
            <color indexed="81"/>
            <rFont val="Tahoma"/>
            <family val="2"/>
          </rPr>
          <t xml:space="preserve">
Legger på 20 % for høy kompleksitet og høy markedspris</t>
        </r>
      </text>
    </comment>
    <comment ref="Q45"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6" authorId="0" shapeId="0">
      <text>
        <r>
          <rPr>
            <sz val="9"/>
            <color indexed="81"/>
            <rFont val="Tahoma"/>
            <family val="2"/>
          </rPr>
          <t>Antar samme spesifikke kostnad som for kontorbygg</t>
        </r>
      </text>
    </comment>
    <comment ref="D46" authorId="0" shapeId="0">
      <text>
        <r>
          <rPr>
            <sz val="9"/>
            <color indexed="81"/>
            <rFont val="Tahoma"/>
            <family val="2"/>
          </rPr>
          <t>Antar samme spesifikke kostnad som for kontorbygg</t>
        </r>
      </text>
    </comment>
    <comment ref="E46" authorId="0" shapeId="0">
      <text>
        <r>
          <rPr>
            <sz val="9"/>
            <color indexed="81"/>
            <rFont val="Tahoma"/>
            <family val="2"/>
          </rPr>
          <t>Antar samme spesifikke kostnad som for kontorbygg</t>
        </r>
      </text>
    </comment>
    <comment ref="F46" authorId="0" shapeId="0">
      <text>
        <r>
          <rPr>
            <sz val="9"/>
            <color indexed="81"/>
            <rFont val="Tahoma"/>
            <family val="2"/>
          </rPr>
          <t>Antar samme spesifikke kostnad som for kontorbygg</t>
        </r>
      </text>
    </comment>
    <comment ref="G46" authorId="0" shapeId="0">
      <text>
        <r>
          <rPr>
            <sz val="9"/>
            <color indexed="81"/>
            <rFont val="Tahoma"/>
            <family val="2"/>
          </rPr>
          <t>Antar samme spesifikke kostnad som for kontorbygg</t>
        </r>
      </text>
    </comment>
    <comment ref="H46" authorId="0" shapeId="0">
      <text>
        <r>
          <rPr>
            <sz val="9"/>
            <color indexed="81"/>
            <rFont val="Tahoma"/>
            <family val="2"/>
          </rPr>
          <t>Antar samme spesifikke kostnad som for kontorbygg</t>
        </r>
      </text>
    </comment>
    <comment ref="I46"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6"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6" authorId="0" shapeId="0">
      <text>
        <r>
          <rPr>
            <b/>
            <sz val="9"/>
            <color indexed="81"/>
            <rFont val="Tahoma"/>
            <family val="2"/>
          </rPr>
          <t>Trond Ivar Bøhn:</t>
        </r>
        <r>
          <rPr>
            <sz val="9"/>
            <color indexed="81"/>
            <rFont val="Tahoma"/>
            <family val="2"/>
          </rPr>
          <t xml:space="preserve">
Legger på 20 % for høy kompleksitet og høy markedspris</t>
        </r>
      </text>
    </comment>
    <comment ref="Q46"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7" authorId="0" shapeId="0">
      <text>
        <r>
          <rPr>
            <sz val="9"/>
            <color indexed="81"/>
            <rFont val="Tahoma"/>
            <family val="2"/>
          </rPr>
          <t>Antar samme spesifikke kostnad som for kontorbygg</t>
        </r>
      </text>
    </comment>
    <comment ref="D47" authorId="0" shapeId="0">
      <text>
        <r>
          <rPr>
            <sz val="9"/>
            <color indexed="81"/>
            <rFont val="Tahoma"/>
            <family val="2"/>
          </rPr>
          <t>Antar samme spesifikke kostnad som for kontorbygg</t>
        </r>
      </text>
    </comment>
    <comment ref="E47" authorId="0" shapeId="0">
      <text>
        <r>
          <rPr>
            <sz val="9"/>
            <color indexed="81"/>
            <rFont val="Tahoma"/>
            <family val="2"/>
          </rPr>
          <t>Antar samme spesifikke kostnad som for kontorbygg</t>
        </r>
      </text>
    </comment>
    <comment ref="F47" authorId="0" shapeId="0">
      <text>
        <r>
          <rPr>
            <sz val="9"/>
            <color indexed="81"/>
            <rFont val="Tahoma"/>
            <family val="2"/>
          </rPr>
          <t>Antar samme spesifikke kostnad som for kontorbygg</t>
        </r>
      </text>
    </comment>
    <comment ref="G47" authorId="0" shapeId="0">
      <text>
        <r>
          <rPr>
            <sz val="9"/>
            <color indexed="81"/>
            <rFont val="Tahoma"/>
            <family val="2"/>
          </rPr>
          <t>Antar samme spesifikke kostnad som for kontorbygg</t>
        </r>
      </text>
    </comment>
    <comment ref="H47" authorId="0" shapeId="0">
      <text>
        <r>
          <rPr>
            <sz val="9"/>
            <color indexed="81"/>
            <rFont val="Tahoma"/>
            <family val="2"/>
          </rPr>
          <t>Antar samme spesifikke kostnad som for kontorbygg</t>
        </r>
      </text>
    </comment>
    <comment ref="I47"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7"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7" authorId="0" shapeId="0">
      <text>
        <r>
          <rPr>
            <b/>
            <sz val="9"/>
            <color indexed="81"/>
            <rFont val="Tahoma"/>
            <family val="2"/>
          </rPr>
          <t>Trond Ivar Bøhn:</t>
        </r>
        <r>
          <rPr>
            <sz val="9"/>
            <color indexed="81"/>
            <rFont val="Tahoma"/>
            <family val="2"/>
          </rPr>
          <t xml:space="preserve">
Legger på 20 % for høy kompleksitet og høy markedspris</t>
        </r>
      </text>
    </comment>
    <comment ref="Q47"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8" authorId="0" shapeId="0">
      <text>
        <r>
          <rPr>
            <sz val="9"/>
            <color indexed="81"/>
            <rFont val="Tahoma"/>
            <family val="2"/>
          </rPr>
          <t>Antar samme spesifikke kostnad som for kontorbygg</t>
        </r>
      </text>
    </comment>
    <comment ref="D48" authorId="0" shapeId="0">
      <text>
        <r>
          <rPr>
            <sz val="9"/>
            <color indexed="81"/>
            <rFont val="Tahoma"/>
            <family val="2"/>
          </rPr>
          <t>Antar samme spesifikke kostnad som for kontorbygg</t>
        </r>
      </text>
    </comment>
    <comment ref="E48" authorId="0" shapeId="0">
      <text>
        <r>
          <rPr>
            <sz val="9"/>
            <color indexed="81"/>
            <rFont val="Tahoma"/>
            <family val="2"/>
          </rPr>
          <t>Antar samme spesifikke kostnad som for kontorbygg</t>
        </r>
      </text>
    </comment>
    <comment ref="F48" authorId="0" shapeId="0">
      <text>
        <r>
          <rPr>
            <sz val="9"/>
            <color indexed="81"/>
            <rFont val="Tahoma"/>
            <family val="2"/>
          </rPr>
          <t>Antar samme spesifikke kostnad som for kontorbygg</t>
        </r>
      </text>
    </comment>
    <comment ref="G48" authorId="0" shapeId="0">
      <text>
        <r>
          <rPr>
            <sz val="9"/>
            <color indexed="81"/>
            <rFont val="Tahoma"/>
            <family val="2"/>
          </rPr>
          <t>Antar samme spesifikke kostnad som for kontorbygg</t>
        </r>
      </text>
    </comment>
    <comment ref="H48" authorId="0" shapeId="0">
      <text>
        <r>
          <rPr>
            <sz val="9"/>
            <color indexed="81"/>
            <rFont val="Tahoma"/>
            <family val="2"/>
          </rPr>
          <t>Antar samme spesifikke kostnad som for kontorbygg</t>
        </r>
      </text>
    </comment>
    <comment ref="I48"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8"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8" authorId="0" shapeId="0">
      <text>
        <r>
          <rPr>
            <b/>
            <sz val="9"/>
            <color indexed="81"/>
            <rFont val="Tahoma"/>
            <family val="2"/>
          </rPr>
          <t>Trond Ivar Bøhn:</t>
        </r>
        <r>
          <rPr>
            <sz val="9"/>
            <color indexed="81"/>
            <rFont val="Tahoma"/>
            <family val="2"/>
          </rPr>
          <t xml:space="preserve">
Legger på 20 % for høy kompleksitet og høy markedspris</t>
        </r>
      </text>
    </comment>
    <comment ref="Q48"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49" authorId="0" shapeId="0">
      <text>
        <r>
          <rPr>
            <sz val="9"/>
            <color indexed="81"/>
            <rFont val="Tahoma"/>
            <family val="2"/>
          </rPr>
          <t>Antar samme spesifikke kostnad som for kontorbygg</t>
        </r>
      </text>
    </comment>
    <comment ref="D49" authorId="0" shapeId="0">
      <text>
        <r>
          <rPr>
            <sz val="9"/>
            <color indexed="81"/>
            <rFont val="Tahoma"/>
            <family val="2"/>
          </rPr>
          <t>Antar samme spesifikke kostnad som for kontorbygg</t>
        </r>
      </text>
    </comment>
    <comment ref="E49" authorId="0" shapeId="0">
      <text>
        <r>
          <rPr>
            <sz val="9"/>
            <color indexed="81"/>
            <rFont val="Tahoma"/>
            <family val="2"/>
          </rPr>
          <t>Antar samme spesifikke kostnad som for kontorbygg</t>
        </r>
      </text>
    </comment>
    <comment ref="F49" authorId="0" shapeId="0">
      <text>
        <r>
          <rPr>
            <sz val="9"/>
            <color indexed="81"/>
            <rFont val="Tahoma"/>
            <family val="2"/>
          </rPr>
          <t>Antar samme spesifikke kostnad som for kontorbygg</t>
        </r>
      </text>
    </comment>
    <comment ref="G49" authorId="0" shapeId="0">
      <text>
        <r>
          <rPr>
            <sz val="9"/>
            <color indexed="81"/>
            <rFont val="Tahoma"/>
            <family val="2"/>
          </rPr>
          <t>Antar samme spesifikke kostnad som for kontorbygg</t>
        </r>
      </text>
    </comment>
    <comment ref="H49" authorId="0" shapeId="0">
      <text>
        <r>
          <rPr>
            <sz val="9"/>
            <color indexed="81"/>
            <rFont val="Tahoma"/>
            <family val="2"/>
          </rPr>
          <t>Antar samme spesifikke kostnad som for kontorbygg</t>
        </r>
      </text>
    </comment>
    <comment ref="I49"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49"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49" authorId="0" shapeId="0">
      <text>
        <r>
          <rPr>
            <b/>
            <sz val="9"/>
            <color indexed="81"/>
            <rFont val="Tahoma"/>
            <family val="2"/>
          </rPr>
          <t>Trond Ivar Bøhn:</t>
        </r>
        <r>
          <rPr>
            <sz val="9"/>
            <color indexed="81"/>
            <rFont val="Tahoma"/>
            <family val="2"/>
          </rPr>
          <t xml:space="preserve">
Legger på 20 % for høy kompleksitet og høy markedspris</t>
        </r>
      </text>
    </comment>
    <comment ref="Q49"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C50" authorId="0" shapeId="0">
      <text>
        <r>
          <rPr>
            <sz val="9"/>
            <color indexed="81"/>
            <rFont val="Tahoma"/>
            <family val="2"/>
          </rPr>
          <t>Antar samme spesifikke kostnad som for kontorbygg</t>
        </r>
      </text>
    </comment>
    <comment ref="D50" authorId="0" shapeId="0">
      <text>
        <r>
          <rPr>
            <sz val="9"/>
            <color indexed="81"/>
            <rFont val="Tahoma"/>
            <family val="2"/>
          </rPr>
          <t>Antar samme spesifikke kostnad som for kontorbygg</t>
        </r>
      </text>
    </comment>
    <comment ref="E50" authorId="0" shapeId="0">
      <text>
        <r>
          <rPr>
            <sz val="9"/>
            <color indexed="81"/>
            <rFont val="Tahoma"/>
            <family val="2"/>
          </rPr>
          <t>Antar samme spesifikke kostnad som for kontorbygg</t>
        </r>
      </text>
    </comment>
    <comment ref="F50" authorId="0" shapeId="0">
      <text>
        <r>
          <rPr>
            <sz val="9"/>
            <color indexed="81"/>
            <rFont val="Tahoma"/>
            <family val="2"/>
          </rPr>
          <t>Antar samme spesifikke kostnad som for kontorbygg</t>
        </r>
      </text>
    </comment>
    <comment ref="G50" authorId="0" shapeId="0">
      <text>
        <r>
          <rPr>
            <sz val="9"/>
            <color indexed="81"/>
            <rFont val="Tahoma"/>
            <family val="2"/>
          </rPr>
          <t>Antar samme spesifikke kostnad som for kontorbygg</t>
        </r>
      </text>
    </comment>
    <comment ref="H50" authorId="0" shapeId="0">
      <text>
        <r>
          <rPr>
            <sz val="9"/>
            <color indexed="81"/>
            <rFont val="Tahoma"/>
            <family val="2"/>
          </rPr>
          <t>Antar samme spesifikke kostnad som for kontorbygg</t>
        </r>
      </text>
    </comment>
    <comment ref="I50" authorId="0" shapeId="0">
      <text>
        <r>
          <rPr>
            <b/>
            <sz val="9"/>
            <color indexed="81"/>
            <rFont val="Tahoma"/>
            <family val="2"/>
          </rPr>
          <t>Trond Ivar Bøhn:</t>
        </r>
        <r>
          <rPr>
            <sz val="9"/>
            <color indexed="81"/>
            <rFont val="Tahoma"/>
            <family val="2"/>
          </rPr>
          <t xml:space="preserve">
Benytter samme forholdstall mellom Prisbok 2014 og vurdering i Enova potensialstudien som for kontorbygg</t>
        </r>
      </text>
    </comment>
    <comment ref="J50" authorId="0" shapeId="0">
      <text>
        <r>
          <rPr>
            <b/>
            <sz val="9"/>
            <color indexed="81"/>
            <rFont val="Tahoma"/>
            <family val="2"/>
          </rPr>
          <t>Trond Ivar Bøhn:</t>
        </r>
        <r>
          <rPr>
            <sz val="9"/>
            <color indexed="81"/>
            <rFont val="Tahoma"/>
            <family val="2"/>
          </rPr>
          <t xml:space="preserve">
Legger på 20% kostnad for høyde for ekstra kostnad ved innkapping på eksisterende anlegg</t>
        </r>
      </text>
    </comment>
    <comment ref="K50" authorId="0" shapeId="0">
      <text>
        <r>
          <rPr>
            <b/>
            <sz val="9"/>
            <color indexed="81"/>
            <rFont val="Tahoma"/>
            <family val="2"/>
          </rPr>
          <t>Trond Ivar Bøhn:</t>
        </r>
        <r>
          <rPr>
            <sz val="9"/>
            <color indexed="81"/>
            <rFont val="Tahoma"/>
            <family val="2"/>
          </rPr>
          <t xml:space="preserve">
Legger på 20 % for høy kompleksitet og høy markedspris</t>
        </r>
      </text>
    </comment>
    <comment ref="Q50" authorId="0" shapeId="0">
      <text>
        <r>
          <rPr>
            <b/>
            <sz val="9"/>
            <color indexed="81"/>
            <rFont val="Tahoma"/>
            <family val="2"/>
          </rPr>
          <t>Fra potensialstudien Enova, 2011:</t>
        </r>
        <r>
          <rPr>
            <sz val="9"/>
            <color indexed="81"/>
            <rFont val="Tahoma"/>
            <family val="2"/>
          </rPr>
          <t xml:space="preserve">
Kostnadsanslag basert på: 10-20.000 kr/sone ifm. nyinstallasjon (nytt ventilasjonsanlegg) og ca 25% mer ifm. installasjon på eksisterende anlegg (pga innkapping på eksisterende kanalnett). Lav sone-kostnad for eksempelvis kontorbygg med cellekontorer da det er små soner og stor grad av "serieproduksjon". Stor sone-kostnad for eksempelvis idrettsbygg med få men store soner. Antallet soner varierer for bygningskategoriene.</t>
        </r>
      </text>
    </comment>
    <comment ref="I52" authorId="0" shapeId="0">
      <text>
        <r>
          <rPr>
            <b/>
            <sz val="9"/>
            <color indexed="81"/>
            <rFont val="Tahoma"/>
            <family val="2"/>
          </rPr>
          <t>Trond Ivar Bøhn:</t>
        </r>
        <r>
          <rPr>
            <sz val="9"/>
            <color indexed="81"/>
            <rFont val="Tahoma"/>
            <family val="2"/>
          </rPr>
          <t xml:space="preserve">
Boligeier står for innkjøp og bytte av filter selv.</t>
        </r>
      </text>
    </comment>
    <comment ref="J52" authorId="0" shapeId="0">
      <text>
        <r>
          <rPr>
            <b/>
            <sz val="9"/>
            <color indexed="81"/>
            <rFont val="Tahoma"/>
            <family val="2"/>
          </rPr>
          <t>Trond Ivar Bøhn:</t>
        </r>
        <r>
          <rPr>
            <sz val="9"/>
            <color indexed="81"/>
            <rFont val="Tahoma"/>
            <family val="2"/>
          </rPr>
          <t xml:space="preserve">
Boligeier står for innkjøp og bytte av filter selv.</t>
        </r>
      </text>
    </comment>
    <comment ref="K52" authorId="0" shapeId="0">
      <text>
        <r>
          <rPr>
            <b/>
            <sz val="9"/>
            <color indexed="81"/>
            <rFont val="Tahoma"/>
            <family val="2"/>
          </rPr>
          <t>Trond Ivar Bøhn:</t>
        </r>
        <r>
          <rPr>
            <sz val="9"/>
            <color indexed="81"/>
            <rFont val="Tahoma"/>
            <family val="2"/>
          </rPr>
          <t xml:space="preserve">
Ventilasjonsfirma tar service og filterbytte</t>
        </r>
      </text>
    </comment>
    <comment ref="I53" authorId="0" shapeId="0">
      <text>
        <r>
          <rPr>
            <b/>
            <sz val="9"/>
            <color indexed="81"/>
            <rFont val="Tahoma"/>
            <family val="2"/>
          </rPr>
          <t>Trond Ivar Bøhn:</t>
        </r>
        <r>
          <rPr>
            <sz val="9"/>
            <color indexed="81"/>
            <rFont val="Tahoma"/>
            <family val="2"/>
          </rPr>
          <t xml:space="preserve">
Ventilasjonsfirma tar service og filterbytte på sentralt anlegg</t>
        </r>
      </text>
    </comment>
    <comment ref="J53" authorId="0" shapeId="0">
      <text>
        <r>
          <rPr>
            <b/>
            <sz val="9"/>
            <color indexed="81"/>
            <rFont val="Tahoma"/>
            <family val="2"/>
          </rPr>
          <t>Trond Ivar Bøhn:</t>
        </r>
        <r>
          <rPr>
            <sz val="9"/>
            <color indexed="81"/>
            <rFont val="Tahoma"/>
            <family val="2"/>
          </rPr>
          <t xml:space="preserve">
Lokalt anlegg leilighet. Boligeier står for innkjøp og bytte av filter selv. Kan regne 12 leiligheter i blokka.</t>
        </r>
      </text>
    </comment>
    <comment ref="K53" authorId="0" shapeId="0">
      <text>
        <r>
          <rPr>
            <b/>
            <sz val="9"/>
            <color indexed="81"/>
            <rFont val="Tahoma"/>
            <family val="2"/>
          </rPr>
          <t>Trond Ivar Bøhn:</t>
        </r>
        <r>
          <rPr>
            <sz val="9"/>
            <color indexed="81"/>
            <rFont val="Tahoma"/>
            <family val="2"/>
          </rPr>
          <t xml:space="preserve">
Ventilasjonsfirma tar service og filterbytte på desentralisert anlegg, 12 leiligheter</t>
        </r>
      </text>
    </comment>
    <comment ref="I54" authorId="0" shapeId="0">
      <text>
        <r>
          <rPr>
            <b/>
            <sz val="9"/>
            <color indexed="81"/>
            <rFont val="Tahoma"/>
            <family val="2"/>
          </rPr>
          <t>Trond Ivar Bøhn:</t>
        </r>
        <r>
          <rPr>
            <sz val="9"/>
            <color indexed="81"/>
            <rFont val="Tahoma"/>
            <family val="2"/>
          </rPr>
          <t xml:space="preserve">
Ingen merkostnad da det er balansert ventilasjon og forutsatt serviceavtale fra før</t>
        </r>
      </text>
    </comment>
    <comment ref="J54" authorId="0" shapeId="0">
      <text>
        <r>
          <rPr>
            <b/>
            <sz val="9"/>
            <color indexed="81"/>
            <rFont val="Tahoma"/>
            <family val="2"/>
          </rPr>
          <t>Trond Ivar Bøhn:</t>
        </r>
        <r>
          <rPr>
            <sz val="9"/>
            <color indexed="81"/>
            <rFont val="Tahoma"/>
            <family val="2"/>
          </rPr>
          <t xml:space="preserve">
Ingen merkostnad da det er balansert ventilasjon og forutsatt serviceavtale fra før</t>
        </r>
      </text>
    </comment>
    <comment ref="K54" authorId="0" shapeId="0">
      <text>
        <r>
          <rPr>
            <b/>
            <sz val="9"/>
            <color indexed="81"/>
            <rFont val="Tahoma"/>
            <family val="2"/>
          </rPr>
          <t>Trond Ivar Bøhn:</t>
        </r>
        <r>
          <rPr>
            <sz val="9"/>
            <color indexed="81"/>
            <rFont val="Tahoma"/>
            <family val="2"/>
          </rPr>
          <t xml:space="preserve">
Ingen merkostnad da det er balansert ventilasjon og forutsatt serviceavtale fra før</t>
        </r>
      </text>
    </comment>
  </commentList>
</comments>
</file>

<file path=xl/sharedStrings.xml><?xml version="1.0" encoding="utf-8"?>
<sst xmlns="http://schemas.openxmlformats.org/spreadsheetml/2006/main" count="8789" uniqueCount="1113">
  <si>
    <t>Enebolig</t>
  </si>
  <si>
    <t>Boligblokk</t>
  </si>
  <si>
    <t>Kontorbygg</t>
  </si>
  <si>
    <t>Lav</t>
  </si>
  <si>
    <t>Høy</t>
  </si>
  <si>
    <t>Tiltak</t>
  </si>
  <si>
    <t>TEK 97</t>
  </si>
  <si>
    <t>TEK 10</t>
  </si>
  <si>
    <t>Ventilasjon</t>
  </si>
  <si>
    <t>TEK 69</t>
  </si>
  <si>
    <t>TEK 87</t>
  </si>
  <si>
    <t>Småhus</t>
  </si>
  <si>
    <t xml:space="preserve">Begrensning glass/vindu/dørareal </t>
  </si>
  <si>
    <t>Lufttetthet, lekkasjetall N50 [1/h]</t>
  </si>
  <si>
    <t>Varmegjenvinning ventilasjon [%]</t>
  </si>
  <si>
    <t>-</t>
  </si>
  <si>
    <t>Ingen</t>
  </si>
  <si>
    <t>Nei</t>
  </si>
  <si>
    <t>Solavskjerming for elimin. lokalkjøling</t>
  </si>
  <si>
    <t>Solskjerming solfaktor, fast  / ikke aktivisert stilling</t>
  </si>
  <si>
    <t xml:space="preserve">                                         , aktivisert stilling</t>
  </si>
  <si>
    <t xml:space="preserve">                                         , automatisk solskj.e. solflux</t>
  </si>
  <si>
    <t>Oppvarmet luftvolum</t>
  </si>
  <si>
    <t>Minstekrav</t>
  </si>
  <si>
    <t>Utskifting vinduer, U-verdi 0,8</t>
  </si>
  <si>
    <t>Riving kledning + vindsperre</t>
  </si>
  <si>
    <t>Enhetspris</t>
  </si>
  <si>
    <t>.1</t>
  </si>
  <si>
    <t>.2</t>
  </si>
  <si>
    <t>.3</t>
  </si>
  <si>
    <t>.4</t>
  </si>
  <si>
    <t>.5</t>
  </si>
  <si>
    <t>.6</t>
  </si>
  <si>
    <t>Vindsperre</t>
  </si>
  <si>
    <t>Overflatebehandling</t>
  </si>
  <si>
    <t>Sum tiltak</t>
  </si>
  <si>
    <t>Isolasjon 150 mm</t>
  </si>
  <si>
    <t>.7</t>
  </si>
  <si>
    <t>Utlekting 23 mm</t>
  </si>
  <si>
    <t>Eksist. oppbygning</t>
  </si>
  <si>
    <t>Kledning inkl. tilpasssing vindu</t>
  </si>
  <si>
    <t>Isolasjon 100 mm</t>
  </si>
  <si>
    <t>.8</t>
  </si>
  <si>
    <t>Ny taktro av finerplater</t>
  </si>
  <si>
    <t>Ny undertaksbelegg</t>
  </si>
  <si>
    <t>Sløyfer + lekter</t>
  </si>
  <si>
    <t>.9</t>
  </si>
  <si>
    <t>De-/remont gangbane</t>
  </si>
  <si>
    <t>Riving 50 mm isolasjon</t>
  </si>
  <si>
    <t>Plastfolie</t>
  </si>
  <si>
    <t>Påstøp 70 mm</t>
  </si>
  <si>
    <t>Riving banebelegg + 70 mm påstøp</t>
  </si>
  <si>
    <t>Banebelegg</t>
  </si>
  <si>
    <t>Fjerning av kultlag, t=100 mm</t>
  </si>
  <si>
    <t>Nytt drenslag t=150 mm</t>
  </si>
  <si>
    <t>Riving av vindu inkl fuge/listverk</t>
  </si>
  <si>
    <t>Lev + mont av sålbenkbeslag</t>
  </si>
  <si>
    <t>Lev + mont 250 mm pussisolasjon</t>
  </si>
  <si>
    <t>Klargjøring, utbedring underlag + riving sålbenkbeslag</t>
  </si>
  <si>
    <t>Riving papptekning + beslag, luftelyrer mm</t>
  </si>
  <si>
    <t>Ny asfalt taktekning</t>
  </si>
  <si>
    <t>Nye beslag + luftelyrer</t>
  </si>
  <si>
    <t>Riving tekning (takstein), beslag, takrenner, forkantbeslag, vindskibord</t>
  </si>
  <si>
    <t>Riving lekter + sløyfer + undertaksbelegg</t>
  </si>
  <si>
    <t>Takrenner, forkantbeslag, vindski, beslag</t>
  </si>
  <si>
    <t>Mineralulldyt, bunnfyllingslist, elastisk fugemasse, innvendig list, sålbenk</t>
  </si>
  <si>
    <t>Forlengelse av tak på langvegg (kr/lm tak og ekskl. rigg og drift)</t>
  </si>
  <si>
    <t>Sum inkl. rigg/drift</t>
  </si>
  <si>
    <t>Forlengelse av tak på gavlvegg (kr/lm tak og ekskl. rigg og drift)</t>
  </si>
  <si>
    <t>Ventilasjon:</t>
  </si>
  <si>
    <t>Gir kr 42.240,- / 56.000,- hvis bygget er 160 m2 (3 sov + WC + Bad + kjøkken)</t>
  </si>
  <si>
    <t xml:space="preserve">Kontroll Systemair budsjettpris huseier:  35' innkjøp + 10'-15' montasje </t>
  </si>
  <si>
    <t xml:space="preserve">  </t>
  </si>
  <si>
    <t>Uten varmebatteri</t>
  </si>
  <si>
    <t>Med varmebatteri</t>
  </si>
  <si>
    <t>Ny takstein</t>
  </si>
  <si>
    <t>Påstøp 70 mm, armert</t>
  </si>
  <si>
    <t>Utv solskjerming</t>
  </si>
  <si>
    <t>Mineralulldyt, bunnfyllingslist, elastisk fugemasse, inn- og utvendig list, sålbenkbeslag</t>
  </si>
  <si>
    <t>Mineralulldyt, bunnfyllingslist, elastisk fugemasse, innvendig list, sålbenkbeslag</t>
  </si>
  <si>
    <t>BOLIGBLOKK</t>
  </si>
  <si>
    <t>SUM</t>
  </si>
  <si>
    <t>Mengde</t>
  </si>
  <si>
    <t xml:space="preserve">Holte Byggsafe opererer med 3 kategorier for enebolig: "Flatt terreng", "skrått terreng" og "m/kjeller for utleie". </t>
  </si>
  <si>
    <t>Vi bruker et gjennomsnittstall.</t>
  </si>
  <si>
    <t xml:space="preserve">Utskifting av gamle panelovner til nye med termostat. Forusetter utført av elektrikker og skjult anlegg. </t>
  </si>
  <si>
    <t>3000 kr/ovn x 6 = 18.000,- dvs 112 kr/m2 hvis 160 m2</t>
  </si>
  <si>
    <t xml:space="preserve">Holte Byggsafe opererer med 3 kategorier for boligblokk: "Boligblokk, midtkorridor", "Boligblokk, svalgang" og "Boligblokk, oppgang". </t>
  </si>
  <si>
    <t xml:space="preserve">Holte Byggsafe opererer med 3 kategorier for kontorbygg: "Kontorbygg", "kontorbygg, atrium" og "kontorbygg, bykjerne". </t>
  </si>
  <si>
    <t xml:space="preserve">Varmepumpegjenvinner: Aggregat ca 25 kr pr m3/h - Vanlig aggregat ca 12 kr pr m3/h -&gt; merkostnad 13 kr pr m3/h. </t>
  </si>
  <si>
    <t>Luftmengde ca 12 m3/h pr m2 i kontorer -&gt; Merkost VP  156 kr/m2</t>
  </si>
  <si>
    <t xml:space="preserve">Nye termostater på radiatorer, antar 1 stk pr 35 m2 dvs 3600/35 = ca 100 stk  a kr 2000,- = kr 200.000,- </t>
  </si>
  <si>
    <t>dvs ca 60 kr/m2 hvis 3600 m2 (hele ventilen byttes)</t>
  </si>
  <si>
    <t>Det er avtalt med NVE at vi velger enten TEK69 eller TEK87 for hver bygningskategori da dette er greiest å forholde seg til, altså ikke en blanding av egenskapene/parameterverdiene fra de to TEK'ene. Grunnen til dette er også at vi ellers kunne risikere å ende opp med en gjennomsnitts U-verdi for en komponent eller oppbygning som i virkeligheten ikke finnes, noe som vil kunne gi problemer med kostnadssetting av tiltaket.</t>
  </si>
  <si>
    <t>Videre er det sett nærmere på hvilken TEK som best representerer bygningsmassen innenfor hver av bygningskategoriene.</t>
  </si>
  <si>
    <t>Bygningskategori</t>
  </si>
  <si>
    <t>Representativ TEK</t>
  </si>
  <si>
    <t>Barnehage</t>
  </si>
  <si>
    <t>Kontorbygning</t>
  </si>
  <si>
    <t>Skolebygning</t>
  </si>
  <si>
    <t>Universitets- og høgskolebygning</t>
  </si>
  <si>
    <t>Sykehus</t>
  </si>
  <si>
    <t>Sykehjem</t>
  </si>
  <si>
    <t>Hotellbygning</t>
  </si>
  <si>
    <t>Idrettsbygning</t>
  </si>
  <si>
    <t>Forretningsbygning</t>
  </si>
  <si>
    <t>Kulturbygning</t>
  </si>
  <si>
    <t>Fra potensialstudien næringsbygg:</t>
  </si>
  <si>
    <t>Arealsammenstilling: Status eksisterende bygningsmasse i 2010, inkl. rehabiliteringer/oppgraderinger frem til 2010.</t>
  </si>
  <si>
    <t>Årsklasser</t>
  </si>
  <si>
    <t>2007-2010</t>
  </si>
  <si>
    <t>1997-2006</t>
  </si>
  <si>
    <t>1987-1996</t>
  </si>
  <si>
    <t>1969-1986</t>
  </si>
  <si>
    <t>1949-1968</t>
  </si>
  <si>
    <t>SUM i 2010</t>
  </si>
  <si>
    <t>Hvor tyngden av bygningsmassen befinner seg (Medianen)</t>
  </si>
  <si>
    <t>Aktuell TEK</t>
  </si>
  <si>
    <t>TEK07</t>
  </si>
  <si>
    <t>TEK97</t>
  </si>
  <si>
    <t>TEK87</t>
  </si>
  <si>
    <t>TEK69</t>
  </si>
  <si>
    <t>TEK49</t>
  </si>
  <si>
    <t>Eldre</t>
  </si>
  <si>
    <t>Areal</t>
  </si>
  <si>
    <t>Median areal</t>
  </si>
  <si>
    <t>Sum TEK87 og nyere</t>
  </si>
  <si>
    <t>Sum TEK69 og eldre</t>
  </si>
  <si>
    <t>Median TEK:</t>
  </si>
  <si>
    <t>Prosent fra median</t>
  </si>
  <si>
    <t>Kommentar:</t>
  </si>
  <si>
    <t>Representativ TEK:</t>
  </si>
  <si>
    <t>Nær TEK69</t>
  </si>
  <si>
    <t>Nær TEK87</t>
  </si>
  <si>
    <t>Veldig nær TEK87</t>
  </si>
  <si>
    <t>Universitet/høgskole</t>
  </si>
  <si>
    <t>OK</t>
  </si>
  <si>
    <t>Veldig nær TEK69</t>
  </si>
  <si>
    <t>Lettindustri/verksted</t>
  </si>
  <si>
    <t>Fra potensialstudien boligbygg:</t>
  </si>
  <si>
    <t>Boligmassen fordelt på byggtyper og byggeår, antall og kvadratmeter i 2010</t>
  </si>
  <si>
    <t>%-andel av arealet</t>
  </si>
  <si>
    <t>-&gt;</t>
  </si>
  <si>
    <t>Median</t>
  </si>
  <si>
    <t>Oversikt over den tekniske standarden den norske boligmassen har i forhold til henholdsvis vinduer, yttervegger/fasade og tak/loft.</t>
  </si>
  <si>
    <t>Prosentfordeling</t>
  </si>
  <si>
    <t>Arealfordeling</t>
  </si>
  <si>
    <t>Arealfordeling summering tatt hensyn til oppgradering vinduer</t>
  </si>
  <si>
    <t>Før 1956</t>
  </si>
  <si>
    <t>1956-1970</t>
  </si>
  <si>
    <t>1971-1980</t>
  </si>
  <si>
    <t>1981-1990</t>
  </si>
  <si>
    <t>1991-2000</t>
  </si>
  <si>
    <t>2001-2010</t>
  </si>
  <si>
    <t>Leilighet</t>
  </si>
  <si>
    <t>Yttervegg/fasade</t>
  </si>
  <si>
    <t>Arealfordeling summering tatt hensyn til oppgradering yttervegg/fasade</t>
  </si>
  <si>
    <t>Tak/loft</t>
  </si>
  <si>
    <t>Arealfordeling summering tatt hensyn til oppgradering tak/loft</t>
  </si>
  <si>
    <t>Summerer "enebolig" og "småhus"</t>
  </si>
  <si>
    <t>Summerer for alle typer oppgradering for å finne det representative totalt sett</t>
  </si>
  <si>
    <t>Enebolig og småhus</t>
  </si>
  <si>
    <t>Helt på vippepunktet</t>
  </si>
  <si>
    <t>Oppvarmet areal BRA</t>
  </si>
  <si>
    <t>Grunnflate</t>
  </si>
  <si>
    <t>Antall etasjer</t>
  </si>
  <si>
    <t>Romhøyde</t>
  </si>
  <si>
    <t>Takareal</t>
  </si>
  <si>
    <t>Veggareal</t>
  </si>
  <si>
    <t>Areal vinduer/dører</t>
  </si>
  <si>
    <t>Vindusarealer</t>
  </si>
  <si>
    <t>Vindusfordeling</t>
  </si>
  <si>
    <t>Vindusorientering</t>
  </si>
  <si>
    <t>Formfaktor</t>
  </si>
  <si>
    <r>
      <t>[m</t>
    </r>
    <r>
      <rPr>
        <vertAlign val="superscript"/>
        <sz val="10"/>
        <rFont val="Arial"/>
        <family val="2"/>
      </rPr>
      <t>2</t>
    </r>
    <r>
      <rPr>
        <sz val="10"/>
        <rFont val="Arial"/>
        <family val="2"/>
      </rPr>
      <t>]</t>
    </r>
  </si>
  <si>
    <t>[m]</t>
  </si>
  <si>
    <r>
      <t>[m</t>
    </r>
    <r>
      <rPr>
        <vertAlign val="superscript"/>
        <sz val="10"/>
        <rFont val="Arial"/>
        <family val="2"/>
      </rPr>
      <t>3</t>
    </r>
    <r>
      <rPr>
        <sz val="10"/>
        <rFont val="Arial"/>
        <family val="2"/>
      </rPr>
      <t>]</t>
    </r>
  </si>
  <si>
    <t>[%]</t>
  </si>
  <si>
    <r>
      <t>nord [m</t>
    </r>
    <r>
      <rPr>
        <vertAlign val="superscript"/>
        <sz val="10"/>
        <rFont val="Arial"/>
        <family val="2"/>
      </rPr>
      <t>2</t>
    </r>
    <r>
      <rPr>
        <sz val="10"/>
        <rFont val="Arial"/>
        <family val="2"/>
      </rPr>
      <t>]</t>
    </r>
  </si>
  <si>
    <r>
      <t>sør [m</t>
    </r>
    <r>
      <rPr>
        <vertAlign val="superscript"/>
        <sz val="10"/>
        <rFont val="Arial"/>
        <family val="2"/>
      </rPr>
      <t>2</t>
    </r>
    <r>
      <rPr>
        <sz val="10"/>
        <rFont val="Arial"/>
        <family val="2"/>
      </rPr>
      <t>]</t>
    </r>
  </si>
  <si>
    <r>
      <t>øst [m</t>
    </r>
    <r>
      <rPr>
        <vertAlign val="superscript"/>
        <sz val="10"/>
        <rFont val="Arial"/>
        <family val="2"/>
      </rPr>
      <t>2</t>
    </r>
    <r>
      <rPr>
        <sz val="10"/>
        <rFont val="Arial"/>
        <family val="2"/>
      </rPr>
      <t>]</t>
    </r>
  </si>
  <si>
    <r>
      <t>vest [m</t>
    </r>
    <r>
      <rPr>
        <vertAlign val="superscript"/>
        <sz val="10"/>
        <rFont val="Arial"/>
        <family val="2"/>
      </rPr>
      <t>2</t>
    </r>
    <r>
      <rPr>
        <sz val="10"/>
        <rFont val="Arial"/>
        <family val="2"/>
      </rPr>
      <t>]</t>
    </r>
  </si>
  <si>
    <r>
      <t>tot [m</t>
    </r>
    <r>
      <rPr>
        <vertAlign val="superscript"/>
        <sz val="10"/>
        <rFont val="Arial"/>
        <family val="2"/>
      </rPr>
      <t>2</t>
    </r>
    <r>
      <rPr>
        <sz val="10"/>
        <rFont val="Arial"/>
        <family val="2"/>
      </rPr>
      <t>]</t>
    </r>
  </si>
  <si>
    <r>
      <t>nord [%</t>
    </r>
    <r>
      <rPr>
        <sz val="10"/>
        <rFont val="Arial"/>
        <family val="2"/>
      </rPr>
      <t>]</t>
    </r>
  </si>
  <si>
    <t>sør [%]</t>
  </si>
  <si>
    <r>
      <t>øst [%</t>
    </r>
    <r>
      <rPr>
        <sz val="10"/>
        <rFont val="Arial"/>
        <family val="2"/>
      </rPr>
      <t>]</t>
    </r>
  </si>
  <si>
    <t>vest [%]</t>
  </si>
  <si>
    <r>
      <t>tot [%</t>
    </r>
    <r>
      <rPr>
        <sz val="10"/>
        <rFont val="Arial"/>
        <family val="2"/>
      </rPr>
      <t>]</t>
    </r>
  </si>
  <si>
    <t>nord/sør/øst/vest</t>
  </si>
  <si>
    <t>(10x8)</t>
  </si>
  <si>
    <t>31/31/19/19</t>
  </si>
  <si>
    <t>(10x30)</t>
  </si>
  <si>
    <t>50/50/0/0</t>
  </si>
  <si>
    <t>30/30/20/20</t>
  </si>
  <si>
    <t>(20x60)</t>
  </si>
  <si>
    <t>Lett industribygning, verksted</t>
  </si>
  <si>
    <t>(40x80)</t>
  </si>
  <si>
    <t>Driftstider</t>
  </si>
  <si>
    <t>Personer</t>
  </si>
  <si>
    <t>Oppv,belys,utstyr</t>
  </si>
  <si>
    <t>tim/dag/uke</t>
  </si>
  <si>
    <t>16/7/52</t>
  </si>
  <si>
    <t>24/7/52</t>
  </si>
  <si>
    <t>10/5/52</t>
  </si>
  <si>
    <t>12/5/52</t>
  </si>
  <si>
    <t>10/5/44</t>
  </si>
  <si>
    <t>12/5/44</t>
  </si>
  <si>
    <t>12/6/52</t>
  </si>
  <si>
    <t>11/5/52</t>
  </si>
  <si>
    <t>9/5/44</t>
  </si>
  <si>
    <t>Bygningsmodeller for gjennomsnittsbygget:</t>
  </si>
  <si>
    <t xml:space="preserve">Multiconsult har siden 2008 bidratt til etablering og videreutvikling av energimerkesystemet på oppdrag for NVE. Ifm. siste revisjon av energikarakterskalaen gjorde vi en utredning (Notat 05: "Revisjon av energikarakterskala", datert 27. august 2012) som viste at TEK-bygningsmodellene for de ulike bygningskategoriene med ett unntak representerte den energimerkede bygningsmassen på en god måte ift. størrelse på byggene. Unntaket gjaldt bygningskategorien barnehage. TEK-bygningsmodellen for barnehage er et lite bygg på kun 300 m², mens arealfordelingen til de energimerkede barnehager viste at hovedvekten av bygg var vesentlig større og med gjennomsnitt på 1043 m² den gangen. Vi har derfor gjort en ny og nærmere vurdering av kategorien barnehage, og vurdert om TEK-bygningsmodellen representerer gjennomsnittsbygget på en god nok måte. </t>
  </si>
  <si>
    <t>Spesiell vurdering for barnehage:</t>
  </si>
  <si>
    <t>Tabell 4.1: Arealvektet gjennomsnittlig målt spesifikk energibruk i barnehager, samt informasjon om utvalget. Kilde: SSB, NVE, Enova, Entro, Statsbygg.</t>
  </si>
  <si>
    <t>Kilde</t>
  </si>
  <si>
    <t>Antall bygg</t>
  </si>
  <si>
    <t>Gjennomsnittlig areal</t>
  </si>
  <si>
    <t>Spesifikk energibruk, målt</t>
  </si>
  <si>
    <t xml:space="preserve">Utvalgets </t>
  </si>
  <si>
    <t>areal</t>
  </si>
  <si>
    <t>[antall]</t>
  </si>
  <si>
    <t>[m²]</t>
  </si>
  <si>
    <t>[kWh/m²·år]</t>
  </si>
  <si>
    <t>SSB *</t>
  </si>
  <si>
    <t>n.a.</t>
  </si>
  <si>
    <t>NVE</t>
  </si>
  <si>
    <t>Enova</t>
  </si>
  <si>
    <t>Entro</t>
  </si>
  <si>
    <t>Statsbygg</t>
  </si>
  <si>
    <t>* SSBs rapport inneholder ikke informasjon om areal for barnehagene (undergruppe for skolebygning).</t>
  </si>
  <si>
    <t>Tabell 2: Barnehager - Arealvektet gjennomsnittlig målt spesifikk energibruk for forskjellige byggeperiode, samt informasjon om antall bygg og areal. Kilde: NVE</t>
  </si>
  <si>
    <t>Samlet areal,</t>
  </si>
  <si>
    <t>Areal, median</t>
  </si>
  <si>
    <t xml:space="preserve">Areal, </t>
  </si>
  <si>
    <t>Areal,</t>
  </si>
  <si>
    <t>alle bygg</t>
  </si>
  <si>
    <t>minst</t>
  </si>
  <si>
    <t>størst</t>
  </si>
  <si>
    <t>Byggeperiode</t>
  </si>
  <si>
    <t>før 1950</t>
  </si>
  <si>
    <t>1950-69</t>
  </si>
  <si>
    <t>1970-89</t>
  </si>
  <si>
    <t>1990-99</t>
  </si>
  <si>
    <t>2000 og senere</t>
  </si>
  <si>
    <t>Sum</t>
  </si>
  <si>
    <t>For eldre byggeforskrifter var kravene satt ut fra geografiske soner. Det er da sone 3 (som inkl. Oslo) som er den mest representativt for den norske bygningsmassen.</t>
  </si>
  <si>
    <t>ENERGIKRAV TEK</t>
  </si>
  <si>
    <t>TEK 07</t>
  </si>
  <si>
    <t>TEK 49</t>
  </si>
  <si>
    <t>Kommentar</t>
  </si>
  <si>
    <t>Yrkesbygg</t>
  </si>
  <si>
    <t>Bolig</t>
  </si>
  <si>
    <t>U-verdi yttervegg [W/m2K]</t>
  </si>
  <si>
    <t>0,17/0,22</t>
  </si>
  <si>
    <t>0,21/0,27</t>
  </si>
  <si>
    <t>0,50/0,96</t>
  </si>
  <si>
    <t>U-verdi gulv [W/m2K]</t>
  </si>
  <si>
    <t>0,15/0,14</t>
  </si>
  <si>
    <t>0,25/0,2</t>
  </si>
  <si>
    <t>0,28/0,38</t>
  </si>
  <si>
    <t>0,61/0,55</t>
  </si>
  <si>
    <t>Dette skal være resulterende u-verdier, dvs. inkludert varmemotstanden i grunnen.</t>
  </si>
  <si>
    <t>U-verdi tak [W/m2K]</t>
  </si>
  <si>
    <t>0,12/0,14</t>
  </si>
  <si>
    <t>0,18/0,20</t>
  </si>
  <si>
    <t>U-verdi vinduer/ dører [W/m2K]</t>
  </si>
  <si>
    <r>
      <t xml:space="preserve">2 </t>
    </r>
    <r>
      <rPr>
        <sz val="10"/>
        <color indexed="10"/>
        <rFont val="Arial"/>
        <family val="2"/>
      </rPr>
      <t>/ 2,4</t>
    </r>
  </si>
  <si>
    <t>Normalisert kuldebroverdi [W/m2,K]</t>
  </si>
  <si>
    <t>0,06 / 0,03</t>
  </si>
  <si>
    <t>0,05/0,12</t>
  </si>
  <si>
    <t>0,05 / 0,12</t>
  </si>
  <si>
    <t>0,04 / 0,08</t>
  </si>
  <si>
    <t>0,03 / 0,06</t>
  </si>
  <si>
    <t>1,5 / 2,5</t>
  </si>
  <si>
    <t>1,5/3,0</t>
  </si>
  <si>
    <t>1,5/4,0</t>
  </si>
  <si>
    <t>2,5/3,0</t>
  </si>
  <si>
    <t>Ikke nødvendigvis slik at lekkasjetallet blir dårligere med årene, fordi den er avhengig av byggemåte, og murkonstruksjoner som var vanlig i gamle dager var i seg selv nokså tette. Niels har kontaktet SINTEF for å prøve å få tak i litt statistikk ang. dette.</t>
  </si>
  <si>
    <t>Ventilasjonsluftmengder [m3/(hm2)]</t>
  </si>
  <si>
    <t>Bruker veiledende luftmengder ihht. NS3031 tabell B1. Dette ligger inne i SIMIEN-filene fra før, som er grunnlaget for energirammene (TEK10). Gjelder alle bygninger uansett årstall / TEK.</t>
  </si>
  <si>
    <t>NS3031 tab.B1</t>
  </si>
  <si>
    <t>80% / 70%</t>
  </si>
  <si>
    <t>Naturlig vent</t>
  </si>
  <si>
    <t>SFP-faktor [kW/(m3/s)]</t>
  </si>
  <si>
    <t>Natt- og helgesenkning</t>
  </si>
  <si>
    <t>Ja</t>
  </si>
  <si>
    <t>Ingen kjøling</t>
  </si>
  <si>
    <t>Installert kjøleeffekt ventilasjon [W/m2]</t>
  </si>
  <si>
    <t>Bruker kjøleefffekten som ligger inne i SIMIEN-filene fra før, som er grunnlaget for energirammene (TEK10). Gjelder alle bygninger uansett årstall / TEK.</t>
  </si>
  <si>
    <t>Internlaster, belysning [W/m2]</t>
  </si>
  <si>
    <t>NS3031 tab.A1 red til 80%</t>
  </si>
  <si>
    <t>Bruker standardverdier ihht. NS3031 tabell A1 og A2. Dette ligger inne i SIMIEN-filene fra før, som er grunnlaget for energirammene (TEK10). Gjelder alle bygninger uansett årstall / TEK.</t>
  </si>
  <si>
    <t>NS3031 tab.A1</t>
  </si>
  <si>
    <t xml:space="preserve">                        , utstyr [W/m2]</t>
  </si>
  <si>
    <t>Bruker standardverdier ihht. NS3031 tabell A1. Gjelder alle bygninger uansett årstall / TEK.</t>
  </si>
  <si>
    <t xml:space="preserve">                        , varmtvann [W/m2]</t>
  </si>
  <si>
    <t>Varmetilskudd, personer [W/m2]</t>
  </si>
  <si>
    <t>Bruker standardverdier ihht. NS3031 tabell A2. Gjelder alle bygninger uansett årstall / TEK.</t>
  </si>
  <si>
    <t>Bruker standardverdier ihht. NS3031 tabell A2. Dette ligger inne i SIMIEN-filene fra før, som er grunnlaget for energirammene (TEK10). Gjelder alle bygninger uansett årstall / TEK.</t>
  </si>
  <si>
    <t>Ja, 175</t>
  </si>
  <si>
    <t>Energitiltak</t>
  </si>
  <si>
    <t>1,2 / 1,2</t>
  </si>
  <si>
    <t>1,5 / 1,5</t>
  </si>
  <si>
    <t>0,4/0,7</t>
  </si>
  <si>
    <t>For hver av bygningskategoriene skal det defineres et gjennomsnittsbygg relatert til dagens bygningsmasse. Vi benytter delresultat fra Enovas "Potensial- og barrierestudie" i 2011 til å bestemme gjennomsnittbyggets tekniske tilstand. Multiconsult utførte den del av studien som tok for seg næringsbygg, mens tilsvarende studie for boliger ble utført av Prognosesenteret. I denne studien ble Norges eksisterende bygningsmasse i 2010 fordelt ut på byggeårsperioder relatert til historiske tekniske byggeforskrifter (TEK). Videre ble det i næringsbyggstudien gjort en vurdering ift. andeler av bygningsmassen som har blitt rehabilitert/oppgradert og som dermed gav en viss ”forskyvning” fra eldre til nyere TEK ift oppgraderinger utført på eldre bygg. Nedenfor er gjengitt to diagrammer fra potensialstudien for næringsbygg som viser de respektive fordelingene. De viser at hovedvekten er på TEK69 men med noe forskjøvet fordeling mot nyere TEK, dvs. at gjennomsnittsbygget for de fleste bygningskategoriene er en blanding/mellomting av tekniske egenskaper fra TEK69 og TEK87. Men det er noen variasjoner bygningskategoriene imellom. Tilsvarende vurderinger er gjort i potensialstudien for boligbygg.</t>
  </si>
  <si>
    <t>I oppdraget "Analyse av energibruk i undervisningsbygg" for NVE i 2014, ble det samlet inn statistikk og data for et stort antall barnehager. Tabell 1 nedenfor viser at gjennomsnittsarealet for en barnehage er omkring 600 m². Tabell 2 (fra NVE-energimerkedatabasen) viser at gjennomsnittsarealet (eller median) har økt kraftig fra 1950 og frem til i dag. (Høyt areal i eldste periode skyldes enkelte gigantbarnehager som er ombygget industribygg som drar snittet kraftig opp). Når vi i dette prosjektet skal se på et gjennomsnittsbygg som skal oppgraderes, er det bygningsmassen av barnehager i perioden (1) 1970-89 og (2) 1990-99 som representeter det største atallet, hvor areal median er hhv. (1) 395 og (2) 500 m2. (Perioden 2000 og senere har kunstig høyt antall grunnet høyere andel energimerking av nybygg). Dette er altså ikke så langt unna bygningsmodellen på 300m2. Vi ser derfor ikke noen grunn til å heller benytte passivhus-bygningsmodellen på 1000 m².</t>
  </si>
  <si>
    <t>Definere gjennomsnittsbygget i dagens bygningsmasse, for hver av bygningskategoriene, relatert til representativ TEK</t>
  </si>
  <si>
    <t>Følgende benyttes:</t>
  </si>
  <si>
    <t>Lav energibesparelse</t>
  </si>
  <si>
    <t>Median energibesparelse</t>
  </si>
  <si>
    <t>Høy energibesparelse</t>
  </si>
  <si>
    <t>Bergen</t>
  </si>
  <si>
    <t>Oslo</t>
  </si>
  <si>
    <t>Narvik</t>
  </si>
  <si>
    <t>1 Gjennomsnittsbygg</t>
  </si>
  <si>
    <t>INNHOLD</t>
  </si>
  <si>
    <t>Arkfane</t>
  </si>
  <si>
    <t>Forklaring</t>
  </si>
  <si>
    <t>Klimasted</t>
  </si>
  <si>
    <t>Klima er en variabel for beregning av lav, median og høy energibesparelse</t>
  </si>
  <si>
    <t>Driftstider og temperaturer er en variabel for beregning av lav, median og høy energibesparelse</t>
  </si>
  <si>
    <t>Standardverdier fra NS3031</t>
  </si>
  <si>
    <t>Temperaturer</t>
  </si>
  <si>
    <t>+ 1 time/døgn</t>
  </si>
  <si>
    <t>+ 2 timer/døgn</t>
  </si>
  <si>
    <t>+ 1 °C oppv / - 1 °C kjøl</t>
  </si>
  <si>
    <t>+ 2 °C oppv / - 2 °C kjøl</t>
  </si>
  <si>
    <t>Byggeår er en variabel for beregning av lav, median og høy energibesparelse</t>
  </si>
  <si>
    <t>TEK69/TEK87</t>
  </si>
  <si>
    <t>Byggeårsperiode/TEK</t>
  </si>
  <si>
    <t>Bygningsmodellene - slik de er i SIMIEN-filene som er grunnlaget for energirammene i TEK10 og karakterskalaen i energimerkeordningen</t>
  </si>
  <si>
    <t>2 Bygningsmodeller</t>
  </si>
  <si>
    <t>3 Byggeår</t>
  </si>
  <si>
    <t>4 Bruk</t>
  </si>
  <si>
    <t>5 Klima</t>
  </si>
  <si>
    <t>Bakgrunn:</t>
  </si>
  <si>
    <t>Gulv på grunn, 5 cm isolasjon, U-verdi 0,30</t>
  </si>
  <si>
    <t>Vinduer/dører U-verdi 2,80</t>
  </si>
  <si>
    <t>Vinduer/dører U-verdi 2,4</t>
  </si>
  <si>
    <t>Typisk massiv mur eller betong med treullsement eller lettbetong. U-verdi 0,70</t>
  </si>
  <si>
    <t>Bindingsverk, 15 cm isolasjon, U-verdi 0,30 (langvegger i betongbygg)</t>
  </si>
  <si>
    <t>Kompakttak, 100mm skumplastisolasjon, U-verdi ca 0,35.</t>
  </si>
  <si>
    <t>Kompakt tak, 20 cm isolasjon, U-verdi 0,20</t>
  </si>
  <si>
    <t>Vinduer/dører  U-verdi 2,4</t>
  </si>
  <si>
    <t>Vinduer/dører U-verdi 2,8</t>
  </si>
  <si>
    <t>OPPSUMMERING</t>
  </si>
  <si>
    <t>Inndeling i byggeårsperioder etter historiske TEK. Oversikt over energikrav i de ulike tekniske forskrifter.</t>
  </si>
  <si>
    <t>Historiske TEK - komponentverdier representative for de ulike byggeårsperiodene - som input til SIMIEN-beregninger</t>
  </si>
  <si>
    <t xml:space="preserve">Tar utgangspunkt i TEK-verdier / veiledende verdier. Men setter komponentverdier etter hva som var vanlig byggemåte / teknisk standard på den tiden evt. erfaringstall. </t>
  </si>
  <si>
    <t>Benytter rød skrift der dette avviker fra TEK-kravet, se for øvrig cellekommentarer.</t>
  </si>
  <si>
    <t>TEK69 (TEK87)</t>
  </si>
  <si>
    <r>
      <rPr>
        <sz val="10"/>
        <color rgb="FFFF0000"/>
        <rFont val="Arial"/>
        <family val="2"/>
      </rPr>
      <t xml:space="preserve">0,03 / </t>
    </r>
    <r>
      <rPr>
        <sz val="10"/>
        <color theme="1"/>
        <rFont val="Arial"/>
        <family val="2"/>
      </rPr>
      <t>0,06</t>
    </r>
  </si>
  <si>
    <r>
      <t>Frostsikringstemperatur [</t>
    </r>
    <r>
      <rPr>
        <vertAlign val="superscript"/>
        <sz val="10"/>
        <color theme="1"/>
        <rFont val="Arial"/>
        <family val="2"/>
      </rPr>
      <t>o</t>
    </r>
    <r>
      <rPr>
        <sz val="10"/>
        <color theme="1"/>
        <rFont val="Arial"/>
        <family val="2"/>
      </rPr>
      <t>C]</t>
    </r>
  </si>
  <si>
    <r>
      <t>Frostsikringstemperatur [</t>
    </r>
    <r>
      <rPr>
        <vertAlign val="superscript"/>
        <sz val="10"/>
        <color theme="1"/>
        <rFont val="Arial"/>
        <family val="2"/>
      </rPr>
      <t>o</t>
    </r>
    <r>
      <rPr>
        <sz val="10"/>
        <color theme="1"/>
        <rFont val="Arial"/>
        <family val="2"/>
      </rPr>
      <t xml:space="preserve">C] </t>
    </r>
  </si>
  <si>
    <t>0,3/0,35/0,58</t>
  </si>
  <si>
    <t>0,3/0,35</t>
  </si>
  <si>
    <t>0,5/0,96</t>
  </si>
  <si>
    <t>0,96/1,3</t>
  </si>
  <si>
    <t>TEK87 (TEK97)</t>
  </si>
  <si>
    <t>"Eldre" (TEK49)</t>
  </si>
  <si>
    <t>Parantes angitt for barnehage og sykehjem der dette passer, da de har et noe nyere gjennomsnittsbygg enn øvrige</t>
  </si>
  <si>
    <t>5,0/2,5</t>
  </si>
  <si>
    <t>Lav - median - høy kostnad ønskes for følgende tiltak:</t>
  </si>
  <si>
    <t>Eksisterende vent.anlegg m/dagens normale luftmengder og gamle reimdrevne vifter oppgraderes til nye direktedrevne vifter</t>
  </si>
  <si>
    <t>Eksisterende varmeanlegg uten nattsenkning skal få nattsenkningsautomatikk</t>
  </si>
  <si>
    <t>NÆRINGSBYGG</t>
  </si>
  <si>
    <t>SMÅHUS</t>
  </si>
  <si>
    <t>Service- og vedlikeholdskostnad balansert ventilasjonsanlegg boligblokk, bytte filter gjøres av vaktmester</t>
  </si>
  <si>
    <t>Service- og vedlikeholdskostnad balansert ventilasjonsanlegg næringsbygg, årlig tilsyn fra ventilasjonsfirma.</t>
  </si>
  <si>
    <t>Energiposter</t>
  </si>
  <si>
    <t>Energibudsjett</t>
  </si>
  <si>
    <t>Spesifikt</t>
  </si>
  <si>
    <t>[kWh/år]</t>
  </si>
  <si>
    <t xml:space="preserve">Romoppvarming                       </t>
  </si>
  <si>
    <t xml:space="preserve">Ventilasjonsvarme (varmebatterier)  </t>
  </si>
  <si>
    <t xml:space="preserve">Oppvarming av tappevann             </t>
  </si>
  <si>
    <t xml:space="preserve">Vifter (ventilasjon)                </t>
  </si>
  <si>
    <t xml:space="preserve">Pumper                              </t>
  </si>
  <si>
    <t xml:space="preserve">Belysning                           </t>
  </si>
  <si>
    <t xml:space="preserve">Teknisk utstyr                      </t>
  </si>
  <si>
    <t xml:space="preserve">Romkjøling                          </t>
  </si>
  <si>
    <t>Ventilasjonskjøling (kjølebatterier)</t>
  </si>
  <si>
    <t xml:space="preserve">Total                               </t>
  </si>
  <si>
    <t>Høyeste varmetapstall</t>
  </si>
  <si>
    <t>Høyeste netto kjølebehov</t>
  </si>
  <si>
    <t>Høyeste netto oppvarmingsbehov</t>
  </si>
  <si>
    <t>Komponenter</t>
  </si>
  <si>
    <t>6 / 1</t>
  </si>
  <si>
    <t>8 / 1</t>
  </si>
  <si>
    <t>7 / 1</t>
  </si>
  <si>
    <t xml:space="preserve">P42: Bruker de tall som er forutsatt i SINTEF prosjektrapport 42. </t>
  </si>
  <si>
    <t>Varmebatteri ventilasjon</t>
  </si>
  <si>
    <t>7</t>
  </si>
  <si>
    <t>10</t>
  </si>
  <si>
    <t>13</t>
  </si>
  <si>
    <t>1,2</t>
  </si>
  <si>
    <t>1,5</t>
  </si>
  <si>
    <t>[kWh/m²]</t>
  </si>
  <si>
    <t>Bygningskategori / oppv.BRA</t>
  </si>
  <si>
    <t>Næringsbygg</t>
  </si>
  <si>
    <t>Bolibygg</t>
  </si>
  <si>
    <t>9 / 3</t>
  </si>
  <si>
    <t>7 / 3</t>
  </si>
  <si>
    <t>5 / 1</t>
  </si>
  <si>
    <t>11 / 1,5</t>
  </si>
  <si>
    <t>6 / 0,6</t>
  </si>
  <si>
    <t>NS 3701 tab.A2</t>
  </si>
  <si>
    <t>NS 3701 tab.8</t>
  </si>
  <si>
    <t>NS 3701 tab.A3</t>
  </si>
  <si>
    <t>NS 3700 tab.A1</t>
  </si>
  <si>
    <t>NS 3031 tab.A1</t>
  </si>
  <si>
    <t>5</t>
  </si>
  <si>
    <t>NS 3031 tab.B1</t>
  </si>
  <si>
    <t>NS 3031 tab.A6</t>
  </si>
  <si>
    <t>NS 3031 tab.A2</t>
  </si>
  <si>
    <t>NS 3031 tab.A1*15/8</t>
  </si>
  <si>
    <t>12</t>
  </si>
  <si>
    <t>16</t>
  </si>
  <si>
    <t>20</t>
  </si>
  <si>
    <t>Ja, manuell</t>
  </si>
  <si>
    <t>Oversikt over input parametere; startpunkt for simulering lav - median - høy energibesparelse</t>
  </si>
  <si>
    <t>7 Passivhusnivå</t>
  </si>
  <si>
    <t>Fastsettelse av komponentverdier for hver bygningskategori slik at passivhusstandarden NS 3700 / NS 3701 akkurat tilfredsstilles (kontrolltest)</t>
  </si>
  <si>
    <t>Startpunkt for lav energibesparelse</t>
  </si>
  <si>
    <t>Startpunkt for median energibesparelse</t>
  </si>
  <si>
    <t>Startpunkt for høy energibesparelse</t>
  </si>
  <si>
    <t xml:space="preserve">Energipost                             </t>
  </si>
  <si>
    <t>Spesifikt energibehov</t>
  </si>
  <si>
    <t xml:space="preserve">1a Romoppvarming                       </t>
  </si>
  <si>
    <t>kWh/m²</t>
  </si>
  <si>
    <t xml:space="preserve">1b Ventilasjonsvarme (varmebatterier)  </t>
  </si>
  <si>
    <t xml:space="preserve">2   Varmtvann (tappevann)              </t>
  </si>
  <si>
    <t xml:space="preserve">3a Vifter                              </t>
  </si>
  <si>
    <t xml:space="preserve">3b Pumper                              </t>
  </si>
  <si>
    <t xml:space="preserve">4   Belysning                          </t>
  </si>
  <si>
    <t xml:space="preserve">5   Teknisk utstyr                     </t>
  </si>
  <si>
    <t xml:space="preserve">6a Romkjøling                          </t>
  </si>
  <si>
    <t>6b Ventilasjonskjøling (kjølebatterier)</t>
  </si>
  <si>
    <t xml:space="preserve">Totalt netto energibehov, sum 1-6      </t>
  </si>
  <si>
    <t>Diff. fra Oslo</t>
  </si>
  <si>
    <t>Internlaster og driftstider slik de er ihht. NS 3031 tabell A3:</t>
  </si>
  <si>
    <t>Setpunkt.temp oppvarming</t>
  </si>
  <si>
    <t>i driftstiden</t>
  </si>
  <si>
    <t>utenfor driftstiden</t>
  </si>
  <si>
    <t>°C</t>
  </si>
  <si>
    <t>Setpunkt.temp. romkjøling</t>
  </si>
  <si>
    <t>Bodø</t>
  </si>
  <si>
    <t>Trondheim</t>
  </si>
  <si>
    <t>Tromsø</t>
  </si>
  <si>
    <t>Røros</t>
  </si>
  <si>
    <t>Vurdering:</t>
  </si>
  <si>
    <t>Oslo benyttes som median, da dette i NS 3031 og passivhusstandardene regnes som representativt / gjennomsnittsklima i Norge</t>
  </si>
  <si>
    <t>Narvik viser seg å være passende moderat ytterpunkt for beregning av høy energibesparelse.</t>
  </si>
  <si>
    <t>Simien-simuleringene på kontorbygg nedenfor viser at klima Trondheim og Bodø gir for liten endring fra Oslo-klima, mens Tromsø og Røros gir for stor endring tatt i betraktning hvor hovedvekten av Norges befolkning bor.</t>
  </si>
  <si>
    <t>Kontorbygg (TEK69, NS3031 standardverdier bruk)</t>
  </si>
  <si>
    <t>Småhus (TEK69, NS3031 standardverdier bruk)</t>
  </si>
  <si>
    <t>Bergen ønskes som moderat ytterpunkt for beregning av lav energibesparelse (ønsket av NVE)</t>
  </si>
  <si>
    <t>Standardverdier for driftstider og temperaturer er gitt av NS 3031, som benyttes i energiberegning mot energikrav i TEK samt energimerkeordningen.</t>
  </si>
  <si>
    <t>NVE ønsker at disse standardverdiene benyttes for beregning av lav energibesparelse, da både driftstider og temperaturer etter deres mening oftest er høyere. (Multiconsult ikke uenig)</t>
  </si>
  <si>
    <t>Kontorbygg (TEK69, Oslo klima)</t>
  </si>
  <si>
    <t>Standardverdier NS3031</t>
  </si>
  <si>
    <t>Diff. fra NS3031</t>
  </si>
  <si>
    <t>Merk at vi i Simien-simuleringene nå IKKE legger inn lav luftmengde utenfor driftstid, men kun luftmengde i driftstid og da med en utvidet driftstid i "median" og "høy" energibesparelse.</t>
  </si>
  <si>
    <t>Eksempel kontorbygg: Luftmengde 2 m³/hm2 utenfor driftstid tilsvarer 2,4 timer lenger driftstid med ordinære luftmengder, mens 3 m³/hm2 tilsvarer 3,6 timer.</t>
  </si>
  <si>
    <t>+ 3 timer/døgn</t>
  </si>
  <si>
    <t>+ 4 timer/døgn</t>
  </si>
  <si>
    <t>+ 1 grad</t>
  </si>
  <si>
    <t>+ 2 grader</t>
  </si>
  <si>
    <t>+ 1,5 time/døgn</t>
  </si>
  <si>
    <t>Eksempel skolebygning: Luftmengde 2 m³/hm2 utenfor driftstid tilsvarer 1,75 timer lenger driftstid med ordinære luftmengder, mens 3 m³/hm2 tilsvarer 2,625 timer.</t>
  </si>
  <si>
    <t>Det synes fornuftig å øke med 1,5 timer til "median" og med 3 timer til "høy".</t>
  </si>
  <si>
    <t>For temperaturer synes fornuftig å øke med 1grad til "median" og med 2 grader til "høy".</t>
  </si>
  <si>
    <t>Det er ingen av modellene som har innlagt romkjøling, men vi senker også setpunkt temp. ventilasjonskjøling med hhv 1 og 2 grader for å representere en differanse i økning kjølebehov som følge av strengere krav til innetemperatur også sommer.</t>
  </si>
  <si>
    <t xml:space="preserve">Simien-simuleringer er vist nederst. </t>
  </si>
  <si>
    <t>6 Oversikt startpunkt</t>
  </si>
  <si>
    <t>Utgangspunkt; TEK87 men med korreksjon for ventilasjon</t>
  </si>
  <si>
    <t>Utgangspunkt; TEK69 men med korreksjon for ventilasjon</t>
  </si>
  <si>
    <t>Utgangspunkt; "Eldre", men med korreksjon for ventilasjon</t>
  </si>
  <si>
    <t>Klima</t>
  </si>
  <si>
    <t>Driftstid oppvarming, belysning, utstyr</t>
  </si>
  <si>
    <t>Driftstid personer</t>
  </si>
  <si>
    <t>Driftstid ventilasjon</t>
  </si>
  <si>
    <t>Set.punkt oppvarming i driftstid</t>
  </si>
  <si>
    <t>Set.punkt ventilasjonskjøling</t>
  </si>
  <si>
    <t>Set.punkt oppvarming utenfor driftstid</t>
  </si>
  <si>
    <t>Set.punkt ventilasjonsoppvarming</t>
  </si>
  <si>
    <t>Fra</t>
  </si>
  <si>
    <t>Til</t>
  </si>
  <si>
    <t>Parameterverdier fra - til</t>
  </si>
  <si>
    <t>Forbruk før enøk</t>
  </si>
  <si>
    <t>Forbruk etter enøk</t>
  </si>
  <si>
    <t>Energibesparelse</t>
  </si>
  <si>
    <t>0 Startpunkt</t>
  </si>
  <si>
    <t>1 Etterisolering vegg</t>
  </si>
  <si>
    <r>
      <t xml:space="preserve">Simien-simuleringer for energitiltak versjon </t>
    </r>
    <r>
      <rPr>
        <b/>
        <sz val="10"/>
        <color rgb="FFFF0000"/>
        <rFont val="Arial"/>
        <family val="2"/>
      </rPr>
      <t>median</t>
    </r>
    <r>
      <rPr>
        <b/>
        <sz val="10"/>
        <color theme="1"/>
        <rFont val="Arial"/>
        <family val="2"/>
      </rPr>
      <t xml:space="preserve"> energibesparelse</t>
    </r>
  </si>
  <si>
    <r>
      <t xml:space="preserve">Simien-simuleringer for energitiltak versjon </t>
    </r>
    <r>
      <rPr>
        <b/>
        <sz val="10"/>
        <color rgb="FFFF0000"/>
        <rFont val="Arial"/>
        <family val="2"/>
      </rPr>
      <t>lav</t>
    </r>
    <r>
      <rPr>
        <b/>
        <sz val="10"/>
        <color theme="1"/>
        <rFont val="Arial"/>
        <family val="2"/>
      </rPr>
      <t xml:space="preserve"> energibesparelse</t>
    </r>
  </si>
  <si>
    <r>
      <t xml:space="preserve">Simien-simuleringer for energitiltak versjon </t>
    </r>
    <r>
      <rPr>
        <b/>
        <sz val="10"/>
        <color rgb="FFFF0000"/>
        <rFont val="Arial"/>
        <family val="2"/>
      </rPr>
      <t>høy</t>
    </r>
    <r>
      <rPr>
        <b/>
        <sz val="10"/>
        <color theme="1"/>
        <rFont val="Arial"/>
        <family val="2"/>
      </rPr>
      <t xml:space="preserve"> energibesparelse</t>
    </r>
  </si>
  <si>
    <t>Mekanisk avtrekk</t>
  </si>
  <si>
    <t>Kommentarer</t>
  </si>
  <si>
    <t>Det er i utgangspunktet lagt inn akkurat gode nok U-verdier og varmegjenvinning til akkurat å tilfredsstille passivhuskriteriene.</t>
  </si>
  <si>
    <t>Dette er først gjort for småhus, boligblokk og kontorbygg. Det er benyttet realistisk virkningsgrad varmegjenvinning.</t>
  </si>
  <si>
    <t>Det er søkt å benytte samme U-verdier som for kontorbygg også for øvrige næringsbygg.</t>
  </si>
  <si>
    <t>Passivhusevalueringene viser da at enkelte bygg kunne hatt litt dårligere U-verdier, men det er likevel beholdt de samme U-verdiene for å være konsistent på det området - og heller redusert noe på varmegjenvinningen.</t>
  </si>
  <si>
    <t>For noen næringsbygg viser imidlertid passivhusevalueringene at det må velges strengere U-verdier.</t>
  </si>
  <si>
    <t>Det gjelder barnehage og hotell som krever U-verdier gode tilsvarende som for boligblokk.</t>
  </si>
  <si>
    <t>Det gjelder også idrettsbygg som krever enda bedre U-verdier tilsvarende som for småhus. Likevel tilfredsstilles ikke varmetapskravet. Dette skyldes at TEK-modellen egentlig ikke er representativt nok for idrettsbygg (da er den nye passivhusmodellen som faktisk ligger til grunn for passivhusstandarden bedre tilpasset), bl.a er det nok ikke så mye som 20% vindusandel. Med halvering av vindusarealet tilfredsstilles kravet. På denne bakgrunn beholdes disse U-verdiene som "passivhusnivå".</t>
  </si>
  <si>
    <t>Unntaket er for sykehus og sykehjem hvor en stor andel av bygget har døgnkontinuerlig drift, og vi benytter da luftmengde utenfor driftstid på 3 m³/hmm² utenfor driftstid (ref. passivhusstandarden).</t>
  </si>
  <si>
    <t>16/3</t>
  </si>
  <si>
    <t>14/3</t>
  </si>
  <si>
    <t>2 Etterisolering tak</t>
  </si>
  <si>
    <t xml:space="preserve">Frostsikringstemperatur [oC] </t>
  </si>
  <si>
    <t>U-verdi vinduer/dører [W/m2K]</t>
  </si>
  <si>
    <t>3 Etterisolering gulv</t>
  </si>
  <si>
    <t>4 Skifte vinduer og dører</t>
  </si>
  <si>
    <t>5 Forbedring varmegjenvinning ventilasjon</t>
  </si>
  <si>
    <t>6 Forbedring SFP</t>
  </si>
  <si>
    <t>Styringssystem belysning</t>
  </si>
  <si>
    <t>Energieffektivt belysningsutstyr</t>
  </si>
  <si>
    <t>Lav kostnad:</t>
  </si>
  <si>
    <t>Median kostnad:</t>
  </si>
  <si>
    <t>Høy kostnad:</t>
  </si>
  <si>
    <t>Installasjon av automatikk ifa. sensorer tilstedeværelse og konstantlysfunksjon. Optimalisert løsning. "Passivhusnivå".</t>
  </si>
  <si>
    <t xml:space="preserve">kr/m² </t>
  </si>
  <si>
    <t>Innfelte lysarmaturer, medfører himlingsarbeider. Normal kostnad/standard T5 evt. høy kostnad LED. Dimbar.</t>
  </si>
  <si>
    <t>Nedhengde løsarmaturer, skiftes ut en til en. Lav kostnad/standard T5 / LED. Ikke dimbar.</t>
  </si>
  <si>
    <t>Nedhengde løsarmaturer, skiftes ut en til en. Normal kostnad/standard T5 / LED. Dimbar.</t>
  </si>
  <si>
    <t>Merkostnaden ved samtidig utskifting av belysningsutstyret. Muliggjør integrerte sensorer i armaturene. Uten SD-anlegg. Lav kostnad/standard.</t>
  </si>
  <si>
    <t>eks.mva</t>
  </si>
  <si>
    <t>Natt- og helgesenkning oppvarmingssystem</t>
  </si>
  <si>
    <t>Automatisk solavskjerming</t>
  </si>
  <si>
    <t>SD-anlegg</t>
  </si>
  <si>
    <t>EOS</t>
  </si>
  <si>
    <t>Årlig lisenskostnad?</t>
  </si>
  <si>
    <t xml:space="preserve">Installasjon av komplett utvendig solskjerming (persienner) med motorer og styring etter solføler. </t>
  </si>
  <si>
    <t>Eksisterende utvendig solskjerming uten motorer. Installasjon av motorer og styring etter solføler.</t>
  </si>
  <si>
    <t>Eksisterende utvendig solskjerming med motorer på bryter. Installasjon av styring etter solføler.</t>
  </si>
  <si>
    <t>Installasjon av SD-anlegg</t>
  </si>
  <si>
    <t>Installasjon av automatikk for styring av solskjerming. Også alternativ med installasjon av selve solskjermingen.</t>
  </si>
  <si>
    <t>Etablering av EOS</t>
  </si>
  <si>
    <t>Lav kompleksitet.</t>
  </si>
  <si>
    <t>Medium kompleksitet.</t>
  </si>
  <si>
    <t>Høy kompleksitet.</t>
  </si>
  <si>
    <t>Utskifting av vanlig radiatorventil til akuator og romfølere med tilknytning til SD-anlegg. Høy kompleksitet, mange soner.</t>
  </si>
  <si>
    <t>Utskifting av vanlig radiatorventil til akuator og romfølere med tilknytning til SD-anlegg. Normal kompleksitet, få soner.</t>
  </si>
  <si>
    <t>Sercivebesøk inkl. oppdatering av software, hvert 5.år?</t>
  </si>
  <si>
    <t>Styring sentralt på varmesentral, programmering av nattsekningsfunksjon på utetemperaturkompenseringskurve i SD-anlegg eller fjernvarmesentral. Forutsetter statiske (manuelle) radiatorventiler.</t>
  </si>
  <si>
    <t>NS 3031 tab.A1*10/8</t>
  </si>
  <si>
    <t>NS 3031 tab.A1*12/8</t>
  </si>
  <si>
    <t>Følgende er hentet fra oppdraget "Kostnadsoptimalitet energiregler TEK"</t>
  </si>
  <si>
    <t>Kostnader for automasjonstiltak</t>
  </si>
  <si>
    <t>Kostnader for belysningstiltak</t>
  </si>
  <si>
    <t>Kostnader for ventilasjonstiltak</t>
  </si>
  <si>
    <t>Kostnader for byggtekniske tiltak</t>
  </si>
  <si>
    <t>Beregning LCOE (Levelized Cost Of Energy)</t>
  </si>
  <si>
    <t>7 Behovsstyring ventilasjon (DCV)</t>
  </si>
  <si>
    <t>Småhus på flere etasjer med naturlig ventilasjon, etablerer balansert ventilasjon med aggregat på loft. Høy markedspris.</t>
  </si>
  <si>
    <t>Småhus på en flate med naturlig ventilasjon, etablerer balansert ventilasjon med aggregat på loft. (Med varmebatteri). Normal markedspris.</t>
  </si>
  <si>
    <t>Varmegjenvinning i ventilasjon</t>
  </si>
  <si>
    <t>Boligblokk med kun mekanisk avtrekk fra kjøkken og bad, og friskluft inn gjennom spalter i vegg, etablerer kanalanlegg for friskluft i gamle skorsteinspiper/søppelsjakter og nytt aggregat med gjenvinning. (Med varmebatteri). Lav markedspris.</t>
  </si>
  <si>
    <t xml:space="preserve">Småhus på en flate med mekanisk avtrekk fra før av (fra bad, kjøkken), etablerer balansert ventilasjon med aggregat på loft. (Med varmebatteri) Lav markedspris. </t>
  </si>
  <si>
    <t>Boligblokk med kun oppdriftsventilasjon og friskluft inn gjennom spalter i vegg, etablerer kanalanlegg for friskluft og avtrekksluft i gamle skorsteinspiper/søppelsjakter/luftekanaler fra bad og nytt aggregat med gjenvinning.</t>
  </si>
  <si>
    <t>Etablering av balansert ventilasjon med varmegjenvinning</t>
  </si>
  <si>
    <t>Forbedring av SFP (kun næringsbygg)</t>
  </si>
  <si>
    <t>Etablering av DCV (kun næringsbygg)</t>
  </si>
  <si>
    <t>7/3</t>
  </si>
  <si>
    <t>5/3</t>
  </si>
  <si>
    <t>Ren utskifting av vifte og viftemotorer. Lav kompeksitet. Lav markedspris</t>
  </si>
  <si>
    <t>Etablering av DCV på eksisterende anlegg. Høy kompleksitet. Høy markedspris.</t>
  </si>
  <si>
    <t>2/2</t>
  </si>
  <si>
    <t>Eksisterende vent.anlegg m/dagens normale luftmengder og vgj plate 60 % /  roterende 70 % oppgraderes til høyeffektiv roterende &gt;80 %.</t>
  </si>
  <si>
    <t>Etablering av DCV på eksisterende anlegg. Normal kompleksitet. Normal markedspris.</t>
  </si>
  <si>
    <t>Etablering av DCV på eksisterende anlegg. Lav kompleksitet. Lav markedspris.</t>
  </si>
  <si>
    <t>Ren utskifting av vifte og viftemotorer. Også frekvensomformere. Normal kompeksitet. Normal markedspris</t>
  </si>
  <si>
    <t>Service- og vedlikeholdskostnad balansert ventilasjonsanlegg småhus.</t>
  </si>
  <si>
    <t>Energibesparelse sum-tiltak</t>
  </si>
  <si>
    <t>8 Natt- og helgesenkning</t>
  </si>
  <si>
    <t xml:space="preserve">Set.punkt oppvarming utenfor driftstid [oC] </t>
  </si>
  <si>
    <t>9 Energieffektivt belysningsutstyr</t>
  </si>
  <si>
    <t>10 Styringssystem belysning</t>
  </si>
  <si>
    <t>11 Automatisk solskjerming</t>
  </si>
  <si>
    <t>Solfaktor fast solskjerming</t>
  </si>
  <si>
    <t>Solfaktor bevegelig solskjerming, ikke aktivisert stilling</t>
  </si>
  <si>
    <t>Solfaktor bevegelig solskjerming, aktivisert stilling</t>
  </si>
  <si>
    <t>Solskjermingen styres</t>
  </si>
  <si>
    <t>Aut. Solflux 175</t>
  </si>
  <si>
    <t>Manuelt</t>
  </si>
  <si>
    <t>Automatisk solskjerming</t>
  </si>
  <si>
    <t>Energioppfølgingssystem (EOS)</t>
  </si>
  <si>
    <t>Lettere ombygging/utskifting på eksisterende aggregat</t>
  </si>
  <si>
    <t>Solavskjerming</t>
  </si>
  <si>
    <t>Solfilm ca 1000kr/kvm inkl montasje</t>
  </si>
  <si>
    <t>For enkeltvinduer:</t>
  </si>
  <si>
    <t>Utvendige persienner med sveiv/snortrekk ca 1000kr eks.mva per kvm vindu inkl. montasje (normale vindusstørrelser)</t>
  </si>
  <si>
    <t>Utvendige persienner med motor og solføler ca 2000 kr eks. mva per kvm vindu inkl. montasje</t>
  </si>
  <si>
    <t>Utvendig aut. persienner; 10 000,- per vindu inkl automatikk med mulighet for overstyring.</t>
  </si>
  <si>
    <t>Kolbjørn Brattøy, drift Entra Bodø (tiltak utført i Molovn.12)</t>
  </si>
  <si>
    <t>Referanse</t>
  </si>
  <si>
    <t>Erfaringskostnader</t>
  </si>
  <si>
    <t>Automatikk for tidsstyring (nattsenkning)</t>
  </si>
  <si>
    <t>Automatikk for shunt-/utetemp.reg</t>
  </si>
  <si>
    <t>Potensialstudien, Enova, 2011</t>
  </si>
  <si>
    <t>Nattsenkning (for vannbåren varme; forutsetter shunt- og utetemperaturregulering, men regner ikke termostatventiler/romfølere som en nødvendig del av dette tiltaket)</t>
  </si>
  <si>
    <t>Automatikk for tidsstyring av el.varme eller vannbåren varme, 50 kr/m²</t>
  </si>
  <si>
    <t>Studien Kostnadsoptimalitet Energiregler TEK, DiBK, 2012</t>
  </si>
  <si>
    <t>Eldre belysningsutstyr type lysrørsarmaturer T8 med mekanisk/elektronisk forkobling, skiftes ut til nytt belysningsutstyr type lysrørsarmaturer T5 med elektronsik forkobling / alternativt LED. Optimalisert løsning. "Passivhusnivå".</t>
  </si>
  <si>
    <t>Etterinstallasjon på eksisterende belysningsutstyr. Høy kompleksitet / styring enkeltarmaturer. Tilknytning til SD-anlegg. Høy kostnad/standard.</t>
  </si>
  <si>
    <t>Med nytt forbedret belysningsutstyr øker intervallet for lyskildeutskiftning? Evt. differanse (fra gammel belysning) i årlig/intervallbasert service/utskifting skal tas med i beregningen av LCOE.</t>
  </si>
  <si>
    <t>Lysstyring reduserer belysningens driftstid og dimmer ned lyskildene, som vel begge forlenger lyskildenes levetid? Dvs. intervall for gruppeutskiftning øker. Evt. differanse (fra belysning uten lysstyring) i årlig/intervallbasert service/utskifting skal tas med i beregningen av LCOE.</t>
  </si>
  <si>
    <t>Differanse utskiftningskostnad lyskilder / driver og evt. differanse i intervall gruppeskift, regnet til snittkostnad per år.</t>
  </si>
  <si>
    <t>Etterisolering vegg</t>
  </si>
  <si>
    <t>Etterisolering tak</t>
  </si>
  <si>
    <t>Etterisolering gulv</t>
  </si>
  <si>
    <t xml:space="preserve">Gulv etterisoleres. </t>
  </si>
  <si>
    <t>Skifte vinduer og dører</t>
  </si>
  <si>
    <t>Vinduer og dører skiftes. Samtidig forbedring tetting.</t>
  </si>
  <si>
    <t>Vegg</t>
  </si>
  <si>
    <t>Tak</t>
  </si>
  <si>
    <t>Gulv</t>
  </si>
  <si>
    <t>Vinduer</t>
  </si>
  <si>
    <t>"Eldre bygg"</t>
  </si>
  <si>
    <t>TEK87 / 85</t>
  </si>
  <si>
    <t>Betongvegg, 275 mm etterisolering. U-verdi 0,14</t>
  </si>
  <si>
    <t>1 1/2 steins massiv teglsteinsvegg med middels densitet, evt. vanlig hulmur av tegl. U-verdi 1,3.</t>
  </si>
  <si>
    <t>Teglsteinsvegg, 300 mm etterisolering. U-verdi 0,14</t>
  </si>
  <si>
    <t>Etterisolering vegg 200 mm, U-verdi 0,14</t>
  </si>
  <si>
    <t>Etterisolering vegg 300 cm, U-verdi 0,10</t>
  </si>
  <si>
    <t>Etterisolering vegg 350 mm, U-verdi 0,10</t>
  </si>
  <si>
    <t>Etterisolering vegg 450 mm, U-verdi 0,10</t>
  </si>
  <si>
    <t>Etterisolering tak 350 mm, U-verdi 0,08</t>
  </si>
  <si>
    <t>300 mm etterisolering, U-verdi 0,10</t>
  </si>
  <si>
    <t>Etterisolering tak 200 mm, U-verdi 0,10</t>
  </si>
  <si>
    <t>Fjerning av stubbloftsleire. Ny isolasjon tak 450 mm, U-verdi 0,10</t>
  </si>
  <si>
    <t>Betongvegg, 250 mm etterisolering. U-verdi 0,16</t>
  </si>
  <si>
    <t>Etterisolering vegg 150 mm, U-verdi 0,16</t>
  </si>
  <si>
    <t>Teglsteinsvegg, 275 mm etterisolering. U-verdi 0,16</t>
  </si>
  <si>
    <t>Etterisolering tak 100 mm, U-verdi 0,13</t>
  </si>
  <si>
    <t>300 mm etterisolering, U-verdi 0,13.</t>
  </si>
  <si>
    <t>200 mm etterisolering, U-verdi 0,13</t>
  </si>
  <si>
    <t>Etterisolering gulv 300 mm, U-verdi 0,09</t>
  </si>
  <si>
    <t>Etterisolering gulv 250 mm, U-verdi 0,09</t>
  </si>
  <si>
    <t>Fjerning av stubbloftsleire. Ny isolasjon underside etasjeskiller tak 350 mm, U-verdi 0,09</t>
  </si>
  <si>
    <t>Fundament gulv. 80mm armert betong 150mm markplate, ringmur 250mm lettklinkerblokk, U-verdi 0,25. (Ref. 521.112)</t>
  </si>
  <si>
    <t>Etterisolering gulv 100 mm, U-verdi 0,11</t>
  </si>
  <si>
    <t xml:space="preserve">Yttervegg etterisoleres. Samtidig ny vindsperre (forbedring tetthet). </t>
  </si>
  <si>
    <t>Yttertak (evt. kaldtloft) etterisoleres.</t>
  </si>
  <si>
    <t>Til passivhusnivå. Normal løsning/matrialkvalitet. Normal markedspris.</t>
  </si>
  <si>
    <t>Til passivhusnivå. Beste løsning/matrialkvalitet. Høy markedspris.</t>
  </si>
  <si>
    <t>Kaldtloft, 20cm isolasjon, U-verdi 0,20</t>
  </si>
  <si>
    <t>Etasjeskiller av betong mot uoppvarmet kjeller. 120mm min. ull. U-verdi konstruksjon 0,27. U-verdi effektiv 0,20.(Ref. 471.011 / 471.009)</t>
  </si>
  <si>
    <t xml:space="preserve">Kaldt loft. Etasjeskiller av betong. Sydd matte på ca 3cm over betongdekke. U-verdi ca 1,0. </t>
  </si>
  <si>
    <t>.10</t>
  </si>
  <si>
    <t>.11</t>
  </si>
  <si>
    <t>.12</t>
  </si>
  <si>
    <t>.13</t>
  </si>
  <si>
    <t>Flytte vinduer ut i fasaden</t>
  </si>
  <si>
    <t>Utsuging stubbloftsleire</t>
  </si>
  <si>
    <t>Etterisolering loftsgulv 300 mm, U-verdi 0,08</t>
  </si>
  <si>
    <t>Fjerning av stubbloftsleire. Ny isolasjon loftsgulv 500 mm, U-verdi 0,08</t>
  </si>
  <si>
    <t xml:space="preserve">Loft 150x200mm bjelker m/ stubbeloftsleire. U-verdi konstruksjon 0,96. Effektiv U-verdi 0,81. (Ref. 722.506 / 471.008.) </t>
  </si>
  <si>
    <t>Yttervegg tungt bindingsverk, 100mm stender, uisolert, U-verdi 0,96. (Ref: 723.511)</t>
  </si>
  <si>
    <t>Yttervegg bindingsverk med ca 10 cm isolasjon, U-verdi 0,40. (BDB 471.012.)</t>
  </si>
  <si>
    <t>Yttervegg bindingsverk, 15cm isolasjon, U-verdi 0,30</t>
  </si>
  <si>
    <t>Tretak  150mm isolasjon, U-verdi  0,3. Skråtak med takstein</t>
  </si>
  <si>
    <t>Fjerning stubbloftsleire</t>
  </si>
  <si>
    <t>Dampsperre</t>
  </si>
  <si>
    <t>Ny himling</t>
  </si>
  <si>
    <t>Etasjeskiller 150x200mm bjelker m/ stubbeloftsleire, U-verdi konstruksjon 0,96. Effektiv U-verdi 0,61. (Ref 722.506 / 471.009)</t>
  </si>
  <si>
    <t>Vegg typisk massiv mur eller betong med treullsement eller lettbetong. U-verdi 0,70</t>
  </si>
  <si>
    <t>Vegg bindingsverk, 15 cm isolasjon, U-verdi 0,30 (langvegger i betongbygg)</t>
  </si>
  <si>
    <t>Loft, bjelkelag med leire, U-verdi ca 0,81. (Ref. 722.506 / 471.008)</t>
  </si>
  <si>
    <t>Riving/demontering boder</t>
  </si>
  <si>
    <t>Nye gulvbord</t>
  </si>
  <si>
    <t>Nye/remontere boder</t>
  </si>
  <si>
    <t>Etasjeskiller mot uoppvarmet kjeller. 150x200mm bjelker m/ stubbeloftsleire, U-verdi konstruksjon 0,96. Effektiv U-verdi 0,55. (Ref. 722.506 / 471.009/723.312)</t>
  </si>
  <si>
    <t>Fjerning av stubbloftsleire. Ny isolasjon underside etasjeskiller 300 mm, U-verdi 0,11</t>
  </si>
  <si>
    <t>Fjerning av stubbloftsleire. Ny isolasjon underside etasjeskiller 350 mm, U-verdi 0,09</t>
  </si>
  <si>
    <t>Energibesparelse [kWh/m²,år]</t>
  </si>
  <si>
    <t>Tiltakskostnad [kr/m²]</t>
  </si>
  <si>
    <t>DV-kostnad [kr/m²,år]</t>
  </si>
  <si>
    <t>Teknisk levetid [år]</t>
  </si>
  <si>
    <t>Rente [%]</t>
  </si>
  <si>
    <t>Diskonteringsrente</t>
  </si>
  <si>
    <t>Forbedring av SFP</t>
  </si>
  <si>
    <t>Forbedring varmegjenvinning ventilasjon</t>
  </si>
  <si>
    <t>Behovsstyring DCV</t>
  </si>
  <si>
    <t>Teknisk levetid og rente per tiltak</t>
  </si>
  <si>
    <t>Referanse "Teknisk levetid"</t>
  </si>
  <si>
    <t>Teknisk levetid, referanse</t>
  </si>
  <si>
    <t>Teknisk levetid, valgt til beregningene</t>
  </si>
  <si>
    <t>8 Lav energibesparelse</t>
  </si>
  <si>
    <t>9 Median energibesparelse</t>
  </si>
  <si>
    <t>10 Høy energibesparelse</t>
  </si>
  <si>
    <t>11 Kostnader Bygg</t>
  </si>
  <si>
    <t>12 Kostnader VVS</t>
  </si>
  <si>
    <t>13 Kostnader Elektro</t>
  </si>
  <si>
    <t>14 Kostnader Automasjon</t>
  </si>
  <si>
    <t>15 Levetider og rente</t>
  </si>
  <si>
    <t>16 LCOE</t>
  </si>
  <si>
    <t>Kommentar til valgt teknisk levetid</t>
  </si>
  <si>
    <t>Bransjenormen i LCC-betraktninger er 60år</t>
  </si>
  <si>
    <t>Bransjenormen i LCC-betraktninger er 30år, tar hensyn til utskiftning sfa. punktering</t>
  </si>
  <si>
    <t xml:space="preserve">Angående forventet levetid, har jeg sjekket noen forskjellige leverandører inklusiv Siemens, Johnson Control og Honeywell.
Det er ikke konkret levetid angitt i produktinformasjon fra disse leverandørene. Det står bare tekst slik produkt har en lang levetid.
Stort sett kan det kreves at det skal være minimum 10 års levetid for undersentraler og I/O-moduler.  
Vi kjenner ikke til en standard for undersentralers levetid. </t>
  </si>
  <si>
    <t xml:space="preserve">Angående eventuelle kostnader for service, vedlikehold, oppgradering, lisens etc.
Entreprenør pleier å tilby en gratis etterfølgende service inntil 5 år etter overtakelse for stort prosjekt med mange systemer.  Det vil si 5 år garanti. Service etter garantert serviceperiode er mot betaling etter avtale/kontrakt mellom byggherre og entreprenør.
Lisens for SD-anlegg skal ikke ha utløpstid. Programoppdatering i SD-anlegg innen samme utgave/versjon skal være gratis. Programoppgradering til en høyere utgave kan utføres etter lisensoppgradering.
Lisensoppgradering kan være mot betaling.    </t>
  </si>
  <si>
    <t>EOS-loggen (Entro)</t>
  </si>
  <si>
    <t>Lisens:</t>
  </si>
  <si>
    <t>Normal årlig lisens kostnad per bygg: 3000 kr eks.mva per år</t>
  </si>
  <si>
    <t>Årlig lisens kostnad per bygg ved mange bygg (flere enn 50?): 1500 kr eks.mva per år</t>
  </si>
  <si>
    <t>Men har man veldig mange bygg (flere enn 100) opererer Entro med fastpris og ikke per bygg</t>
  </si>
  <si>
    <t>Etablering:</t>
  </si>
  <si>
    <t>Etableringskostnad normalt 1 time per bygg á ca 1100 kr eks.mva per time</t>
  </si>
  <si>
    <t>Forutsetter at fullstendige opplysninger om bygg og målere foreligger</t>
  </si>
  <si>
    <t>Dataoverføring:</t>
  </si>
  <si>
    <t>Elektronisk overføring av målerverdier fra netteier/strømleverandør: 130 kr/måler/år</t>
  </si>
  <si>
    <t>Elektronisk overføring av målerverdier fra SD-anlegg/egenmonterte målere: 350 kr/måler/år</t>
  </si>
  <si>
    <t>Kommunikasjonskostnader (SIM-kort + tellerskritt): ca 270 kr/år (kostnaden er avhengig av antall målere og hyppighet på dataoverføring)</t>
  </si>
  <si>
    <t>Manuelt avleste målere (olje, el, vann, varme etc.): Gratis</t>
  </si>
  <si>
    <t>Temperaturdata fra DNMI: Gratis</t>
  </si>
  <si>
    <t>Evt. installasjonskostnader :</t>
  </si>
  <si>
    <t>Logger for 8 målepunkt + GSM-sender kr 12.000 + montering elektriker</t>
  </si>
  <si>
    <t>Logger for 4 målepunkt + GSM-sender kr 8.000 + montering elektriker</t>
  </si>
  <si>
    <t>Bruker radiosamband eller kabling fra målere til logger, har ingen enhetskostnader på dette.</t>
  </si>
  <si>
    <t>Strømmåler med innebygget radiosender 3.000kr + montering</t>
  </si>
  <si>
    <t>Case kontorbygg 2 timesmålte målere</t>
  </si>
  <si>
    <t>Etableringskostnad</t>
  </si>
  <si>
    <t>Årlig lisens</t>
  </si>
  <si>
    <t>Årlig dataoverføring</t>
  </si>
  <si>
    <t>Gjennomsnittlig levetid er 20 år, Holte Byggsafe FDV-nøkkelen</t>
  </si>
  <si>
    <t>Holte Byggsafe FDV-nøkkelen, intervaller og levetider, varmegjenvinning</t>
  </si>
  <si>
    <t>Holte Byggsafe FDV-nøkkelen, intervaller og levetider, fraluftsvifte og motorer (tilluftsvifte har høyere levetid)</t>
  </si>
  <si>
    <t>Holte Byggsafe FDV-nøkkelen, intervaller og levetider, motorer, spjeld, innreguleringsautomatikk</t>
  </si>
  <si>
    <t>Holte Byggsafe FDV-nøkkelen, intervaller og levetider, driftstidsstyring</t>
  </si>
  <si>
    <t>Gjennomsnittlig levetid er 12 år, Holte Byggsafe FDV-nøkkelen</t>
  </si>
  <si>
    <t>Holte Byggsafe FDV-nøkkelen, intervaller og levetider, belysningsarmaturer</t>
  </si>
  <si>
    <t>Gjennomsnittlig levetid er 15 år, Holte Byggsafe FDV-nøkkelen</t>
  </si>
  <si>
    <t>Gjelder tiltaket varmegjenvinning hvor det etableres balansert ventilasjonsanlegg</t>
  </si>
  <si>
    <t>Benytter samme forholdstall som for kontorbygg</t>
  </si>
  <si>
    <r>
      <t xml:space="preserve">Utvendig solavskjerming, typisk </t>
    </r>
    <r>
      <rPr>
        <u/>
        <sz val="10"/>
        <color theme="0" tint="-0.249977111117893"/>
        <rFont val="Arial"/>
        <family val="2"/>
      </rPr>
      <t>høy</t>
    </r>
    <r>
      <rPr>
        <sz val="11"/>
        <color theme="0" tint="-0.249977111117893"/>
        <rFont val="Calibri"/>
        <family val="2"/>
        <scheme val="minor"/>
      </rPr>
      <t xml:space="preserve"> kostnad 200 kr/m2 gulvareal som skjermes,  inkl. mva</t>
    </r>
  </si>
  <si>
    <r>
      <t xml:space="preserve">Automatikk, typisk </t>
    </r>
    <r>
      <rPr>
        <u/>
        <sz val="10"/>
        <color theme="0" tint="-0.249977111117893"/>
        <rFont val="Arial"/>
        <family val="2"/>
      </rPr>
      <t>høy</t>
    </r>
    <r>
      <rPr>
        <sz val="11"/>
        <color theme="0" tint="-0.249977111117893"/>
        <rFont val="Calibri"/>
        <family val="2"/>
        <scheme val="minor"/>
      </rPr>
      <t xml:space="preserve"> kostnad 50 kr/m2 oppvarmet areal som dekkes av varmeanlegget,  inkl. mva</t>
    </r>
  </si>
  <si>
    <r>
      <t xml:space="preserve">Ny automatikk, typisk </t>
    </r>
    <r>
      <rPr>
        <u/>
        <sz val="10"/>
        <color theme="0" tint="-0.249977111117893"/>
        <rFont val="Arial"/>
        <family val="2"/>
      </rPr>
      <t>høy</t>
    </r>
    <r>
      <rPr>
        <sz val="11"/>
        <color theme="0" tint="-0.249977111117893"/>
        <rFont val="Calibri"/>
        <family val="2"/>
        <scheme val="minor"/>
      </rPr>
      <t xml:space="preserve"> kostnad 40 kr/m2 oppvarmet areal som dekkes av varmeanlegget,  inkl. mva</t>
    </r>
  </si>
  <si>
    <t>Lisenskostnad EOS</t>
  </si>
  <si>
    <t>5000-8000</t>
  </si>
  <si>
    <t>Kurs/opplæring</t>
  </si>
  <si>
    <t>Målerinstallasjon varme</t>
  </si>
  <si>
    <t>Målerinstallasjon el</t>
  </si>
  <si>
    <t>Logger</t>
  </si>
  <si>
    <t>Overføring fra undermålere</t>
  </si>
  <si>
    <t>kr</t>
  </si>
  <si>
    <t>kr/år</t>
  </si>
  <si>
    <t>Lav kostn</t>
  </si>
  <si>
    <t>Tillegg høy kostn</t>
  </si>
  <si>
    <t>Kommunikasjonskostnad</t>
  </si>
  <si>
    <t>Kabling</t>
  </si>
  <si>
    <t>Montering av flere undermålere, inkl. loggerutstyr og dataoverføring til ekstern EOS-leverandør. (Småhus: Antar 10.000,- i målersutstyr undermålere. Boligblokk: Antar individuell varmemåling hver boenhet)</t>
  </si>
  <si>
    <t>LCOE [kr/kWh]</t>
  </si>
  <si>
    <t>Isolasjon 200 mm</t>
  </si>
  <si>
    <t>Flytte vinduer ut i fasaden, samme kommentar som før</t>
  </si>
  <si>
    <t>Reparere smyg, samme kommentar som før</t>
  </si>
  <si>
    <t>Innv riving kledning + dampsperre</t>
  </si>
  <si>
    <t>Innv utforing 36x198 mm</t>
  </si>
  <si>
    <t>Innv utforing 36x173 mm</t>
  </si>
  <si>
    <t>Innv utforing 36x98 mm</t>
  </si>
  <si>
    <t>Innv isolasjon 200 mm</t>
  </si>
  <si>
    <t>Innv isolasjon 175 mm</t>
  </si>
  <si>
    <t>Innv isolasjon 100 mm</t>
  </si>
  <si>
    <t>Innv dampsperre</t>
  </si>
  <si>
    <t>.14</t>
  </si>
  <si>
    <t>Innv kledning inkl. tilpasssing vindu</t>
  </si>
  <si>
    <t>.15</t>
  </si>
  <si>
    <t>Innv overflatebehandling</t>
  </si>
  <si>
    <t xml:space="preserve">Forlengelse av tak på gavlvegg (kr/lm tak og ekskl. rigg og drift) </t>
  </si>
  <si>
    <t>Riving himling/stubbloftsbord</t>
  </si>
  <si>
    <t>Riving banebelegg + 80 mm påstøp</t>
  </si>
  <si>
    <t>Riving 150 mm isolasjon</t>
  </si>
  <si>
    <t>Nedforing 36x98 mm x 2 krysslagt</t>
  </si>
  <si>
    <t>Fjerning av jordmasser, t=250 mm, dagens pris, ingen faktor</t>
  </si>
  <si>
    <t>150 mm i bjelkelaget + 100 mm x 2, krysslagt</t>
  </si>
  <si>
    <t>Ny isolasjon 150 + 100 + 150 mm, krysslagt, dagens pris, ingen faktor</t>
  </si>
  <si>
    <t>Påstøp 80 mm, armert</t>
  </si>
  <si>
    <t>Nytt trevindu/m2</t>
  </si>
  <si>
    <t>Innblåsning mineralull ca. 100 mm</t>
  </si>
  <si>
    <t>Oppforing av 36x148 mm + 36x198 mm krysslagt</t>
  </si>
  <si>
    <t>Isolasjon 150 mm + 200 mm med vindsperre, ktysslagt</t>
  </si>
  <si>
    <t>Riving himling/nedforing</t>
  </si>
  <si>
    <t>Riving 120 mm isolasjon</t>
  </si>
  <si>
    <t>Nedforing 36 x 173 mm x 2 krysslagt</t>
  </si>
  <si>
    <t>Ny nedforing  36x198 mm + 36x73 mm, krysslagt</t>
  </si>
  <si>
    <t>Isolasjon 200 mm + 170 mm, krysslagt</t>
  </si>
  <si>
    <t>Lev + mont 275 mm pussisolasjon</t>
  </si>
  <si>
    <t>Utforing 36x148mm</t>
  </si>
  <si>
    <t xml:space="preserve">Isolasjon 200 mm krysslagt med vindtetting </t>
  </si>
  <si>
    <t>Isolasjon 100 + 100 mm, krysslagt</t>
  </si>
  <si>
    <t>Isolasjon 50 + 50 mm, krysslagt</t>
  </si>
  <si>
    <t>Nedforing 36 x 148 mm x 2 krysslagt</t>
  </si>
  <si>
    <t>Fjerning av jordmasser, t =150 mm</t>
  </si>
  <si>
    <t>150 mm i bjelkelaget + 100 mm + 50 mm, krysslagt</t>
  </si>
  <si>
    <t>Ny isolasjon 50 + 100 mm krysslagt</t>
  </si>
  <si>
    <t>Utforing 36x198 mm + 36x48 mm, krysslagt  Enhetspris er dagens pris skal ikke har faktor.</t>
  </si>
  <si>
    <t>Utforing 36x173 mm  Enhetspris er dagens pris skal ikke har faktor.</t>
  </si>
  <si>
    <t>Utforing 36x198 mm, enhetspris er dagens pris, ingen faktor</t>
  </si>
  <si>
    <t>Isolasjon 250 mm, samme her</t>
  </si>
  <si>
    <t>Isolasjon 175 mm, samme her</t>
  </si>
  <si>
    <t>Flytte vinduer ut i fasaden, kostnad er fordelt over 160 m2</t>
  </si>
  <si>
    <t>Reparere smyg  __ utgår er medtatt innv kledning + tilpassing</t>
  </si>
  <si>
    <t xml:space="preserve">Forlengelse av tak på gavlvegg (kr/lm tak og ekskl. rigg og drift) Siden vi nå forer ut innv så blir endringen utv den samme som for 200 mm. </t>
  </si>
  <si>
    <t xml:space="preserve">Forlengelse av tak på gavlvegg (kr/lm tak og ekskl. rigg og drift)    Siden vi nå forer ut innv så blir endringen utv den samme som for 200 mm. </t>
  </si>
  <si>
    <t xml:space="preserve">Forlengelse av tak på langvegg (kr/lm tak og ekskl. rigg og drift) </t>
  </si>
  <si>
    <t>Forlengelse av tak på langvegg (kr/lm tak og ekskl. rigg og drift) Samme her</t>
  </si>
  <si>
    <t>Forlengelse av tak på langvegg (kr/lm tak og ekskl. rigg og drift)  samme her</t>
  </si>
  <si>
    <t>Utsuging stubbloftsleire, dagens pris, ingen faktor</t>
  </si>
  <si>
    <t>Isolasjon 100 mm mellom bjelkene, dagens pris, ingen faktor</t>
  </si>
  <si>
    <t>Isolasjon 200 mm krysslagt med vindtetting, dagens pris, ingen faktor</t>
  </si>
  <si>
    <t>Isolasjon 200 mm + 200 mm krysslagt og med vindtetting, dagens pris, ingen faktor</t>
  </si>
  <si>
    <t>Oppforing 48x173 mm x 2, krysslagt + AVSTIVNING,  Enhetspris er dagens pris skal ikke har faktor.</t>
  </si>
  <si>
    <t>Isolasjon 200 + 150 mm, forskjøvet, samme her</t>
  </si>
  <si>
    <t>Fjerning av jordmasser, t=400 mm, dagens pris, ingen faktor</t>
  </si>
  <si>
    <t>Ny isolasjon 200 + 150 mm, krysslagt, dagens pris, ingen faktor</t>
  </si>
  <si>
    <t>Lev + mont 300 mm pussisolasjon, dagens pris, ingen faktor</t>
  </si>
  <si>
    <t>Lev + mont 275 mm pussisolasjon, dagens pris, ingen faktor</t>
  </si>
  <si>
    <t xml:space="preserve">Utforing 48x98 mm x 2 krysslagt, dagens pris </t>
  </si>
  <si>
    <t>Isolasjon 100+100 mm krysslagt, dagens pris</t>
  </si>
  <si>
    <t>Flytte vinduer ut i fasaden inkl reparasjon smyg</t>
  </si>
  <si>
    <t>Reparere smyg   UTGÅR se over</t>
  </si>
  <si>
    <t>Forlengelse av tak på gavlvegg (kr/lm tak og ekskl. rigg og drift), dagens pris, regnet forholdstall</t>
  </si>
  <si>
    <t>Forlengelse av tak på gavlvegg (kr/lm tak og ekskl. rigg og drift), dagens pris</t>
  </si>
  <si>
    <t>Forlengelse av tak på gavlvegg (kr/lm tak og ekskl. rigg og drift)   dagens pris, ingen faktor</t>
  </si>
  <si>
    <t>Forlengelse av tak på langvegg (kr/lm tak og ekskl. rigg og drift)  dagens pris, regnet forholdstall</t>
  </si>
  <si>
    <t>Forlengelse av tak på langvegg (kr/lm tak og ekskl. rigg og drift)  dagens pris</t>
  </si>
  <si>
    <t>Forlengelse av tak på langvegg (kr/lm tak og ekskl. rigg og drift) dagens pris, ingen faktor</t>
  </si>
  <si>
    <t>Isolasjon 150 + 150 mm, krysslagt, dagens pris</t>
  </si>
  <si>
    <t>Isolasjon 150 + 50 mm, krysslagt  dagens pris</t>
  </si>
  <si>
    <t xml:space="preserve">Fjerning av jordmasser, t=300 mm, dagens pris </t>
  </si>
  <si>
    <t>Ny isolasjon 150 + 150 mm, krysslagt, dagens pris</t>
  </si>
  <si>
    <r>
      <t>[lm</t>
    </r>
    <r>
      <rPr>
        <sz val="10"/>
        <rFont val="Arial"/>
        <family val="2"/>
      </rPr>
      <t>]</t>
    </r>
  </si>
  <si>
    <t>Langvegg</t>
  </si>
  <si>
    <t>Gavlvegg</t>
  </si>
  <si>
    <t>HolteProsjekt Kalkulasjonsnøkkelen 2012</t>
  </si>
  <si>
    <t>Verksted, mekanisk</t>
  </si>
  <si>
    <t>Enkel standard</t>
  </si>
  <si>
    <t>Normal standard</t>
  </si>
  <si>
    <t>Byggtyper</t>
  </si>
  <si>
    <t>Høy standard</t>
  </si>
  <si>
    <t>kr/m² BTA</t>
  </si>
  <si>
    <t>Industriarmaturer montert i tak</t>
  </si>
  <si>
    <t>Industriarmaturer montert på armaturskinner</t>
  </si>
  <si>
    <t>Industriarmaturer montert på armaturskinner samt plassbelysning tilpasset maskinplasseringen</t>
  </si>
  <si>
    <t>Lager, lav</t>
  </si>
  <si>
    <t>Åpne reflektorarmaturer montert direkte i tak. Lysstyrke 150 Lux</t>
  </si>
  <si>
    <t>Åpne reflektorarmaturer. Lysstyrke 300 Lux</t>
  </si>
  <si>
    <t>Lysstyrke 500 Lux. Armaturene er tilpasset reoler og annet lageraggarngement.</t>
  </si>
  <si>
    <t>Lager, høy</t>
  </si>
  <si>
    <t>Lysstyrke 500 Lux. Armaturene er tilpasset reoler og annet lageraggarngement. Spesialarmaturer for høyt lager.</t>
  </si>
  <si>
    <t>Belysning tilfredsstiller krav til lysstyrke. Enkelt nødlysanlegg</t>
  </si>
  <si>
    <t>Almennbelysning tilpasset arbeidsplasser. Tilfredsstillende kontrast og blending. Nødlysanlegg med selvtestfunksjon.'</t>
  </si>
  <si>
    <t>Almennbelysning tilpasset arbeidsplasser. Tilfredsstillende kontrast og blending. Overvåket nødlysanlegg.</t>
  </si>
  <si>
    <t>Påbygg for kontorbygg</t>
  </si>
  <si>
    <t>Ikke aktuelt</t>
  </si>
  <si>
    <t>Almennbelysning tilpasset arbeidsplasser. Tilfredsstillende kontrast og blending. Omfang av stikkontakter med maks 3 doble pr. plass.</t>
  </si>
  <si>
    <t>Almennbelysning tilpasset arbeidsplasser. Tilfredsstillende kontrast og blending. Omfang av stikkontakter med maks 4 doble pr. plass.</t>
  </si>
  <si>
    <t>Kjøpesenter</t>
  </si>
  <si>
    <t>Industriarmaturer med reflektor</t>
  </si>
  <si>
    <t>Armaturer med avblending av profilert aluminium</t>
  </si>
  <si>
    <t>Armaturer med avblending av profilert aluminium. Spotlights på strømskinner.</t>
  </si>
  <si>
    <t>Hotell</t>
  </si>
  <si>
    <t>Armaturer med nøktern interiørkvalitet</t>
  </si>
  <si>
    <t>Armaturer med interiørkvalitet</t>
  </si>
  <si>
    <t>Armaturer med god interiørkvalitet. Kysdemping i forsamlingslokaler, spisesaler.</t>
  </si>
  <si>
    <t>Barnehage, 1 avd</t>
  </si>
  <si>
    <t>Normalt omfang av stikkontakter. Belysning ved bruk av ordinære armaturer.</t>
  </si>
  <si>
    <t>Interiørmessig godt tilpassede armaturer. Rikelig med stikkontakter.</t>
  </si>
  <si>
    <t>Barneskole</t>
  </si>
  <si>
    <t>NS3451</t>
  </si>
  <si>
    <t>44 Lys</t>
  </si>
  <si>
    <t>Belysningsarmaturer montert direkte i tak med avblending av profilert aluminium</t>
  </si>
  <si>
    <t>Belysningsarmaturer avblendet med lavluminansraster. Innfelt eller nedhengt i pendel og med opplys, spesielt i arealer med skråtak.</t>
  </si>
  <si>
    <t>Undervisningsbygg, høgskole</t>
  </si>
  <si>
    <t>Belysning med kvalitetsarmaturer m/lavluminansraster. Demping i enkelte arealer.</t>
  </si>
  <si>
    <t>Idrettshall, håndball</t>
  </si>
  <si>
    <t>Enkleste sort belysning for å oppnå krav til lysstyrke</t>
  </si>
  <si>
    <t>Belysning med godt egnede armaturer. Lyskvalitet tilpasset filmopptak.</t>
  </si>
  <si>
    <t>Prisene er å forstå som forventet anbudspris.</t>
  </si>
  <si>
    <t>Svømmehall</t>
  </si>
  <si>
    <t>Belysning med armaturer tilpasset miljø. Lyskvalitet tilpasset filmopptak.</t>
  </si>
  <si>
    <t>Kulturhus</t>
  </si>
  <si>
    <t>Belysning med kvalitetsarmaturer tilpasset de enkelte aktivitetesrom. Sceneteknisk belysning er ikke med, da dette oftest er egen leveranse.</t>
  </si>
  <si>
    <t>Bibliotek</t>
  </si>
  <si>
    <t>Almennbelysning tilpasset arbeidsplasser. Belysningsutstyr tilpasset rommenes bruk. Tilfredsstillende kontrast og blending.</t>
  </si>
  <si>
    <t>Belysning med HF-armaturer tilfredsstiller alle anbefalte normer. Armaturtyper etter rommenes bruk.</t>
  </si>
  <si>
    <t>Belysning etter gjeldende normer. Godt interiørtilpassede armaturer.</t>
  </si>
  <si>
    <t>Belysning etter gjeldende normer. Godt interiørtilpassede armaturer med noe lysdemping i fellesrom.</t>
  </si>
  <si>
    <t>Forbedring SFP</t>
  </si>
  <si>
    <t>Behovsstyring ventilasjon (DCV)</t>
  </si>
  <si>
    <t>Norsk Prisbok 2014</t>
  </si>
  <si>
    <t>Post</t>
  </si>
  <si>
    <t>TEK10</t>
  </si>
  <si>
    <t>Kontorbygg 5000m2</t>
  </si>
  <si>
    <t>4.4 Lys</t>
  </si>
  <si>
    <t>Ungdomsskole</t>
  </si>
  <si>
    <t>Videregående skole</t>
  </si>
  <si>
    <t>Flerbrukshall</t>
  </si>
  <si>
    <t>Omsorgsbolig</t>
  </si>
  <si>
    <t>Lysrørsarmatur normal standard, komplett med montering</t>
  </si>
  <si>
    <t>kr/stk</t>
  </si>
  <si>
    <t>Lysrørsarmatur høy standard, komplett med montering</t>
  </si>
  <si>
    <t>Downlights i himling, komplett inkl. montering</t>
  </si>
  <si>
    <t>Miljø- og effektbelysning</t>
  </si>
  <si>
    <t>Merkostnad ved dagslyssensor ved fasade</t>
  </si>
  <si>
    <t>Solavskjerming utvendig, persienner med kasse, motorstyrte</t>
  </si>
  <si>
    <t>kr/m² vindu</t>
  </si>
  <si>
    <t>Solavskjerming utvendig, persienner uten kasse, motorstyrte</t>
  </si>
  <si>
    <t>Værstasjon for styring av solskjerming</t>
  </si>
  <si>
    <t>44 Lys omfatter 442 Belysningsutstyr og 443 Nødlysutstyr</t>
  </si>
  <si>
    <t>NB! Kun utstyr - alle kursopplegg inngår i kontor 43</t>
  </si>
  <si>
    <t>Under belysningsutstyr inngår, i tillegg til elektrisk belysningsutstyr, strømskinner for tilkobling av adaptere uten vern, også utstyr for optisk overføring og styring av lys samt utstyr for innfanging, overføring og spredning av dagslys.</t>
  </si>
  <si>
    <t>12 Energioppfølgingssystem (EOS)</t>
  </si>
  <si>
    <t>13 SD-anlegg</t>
  </si>
  <si>
    <t>Tiltak per bygningskategori</t>
  </si>
  <si>
    <t>Lav LCOE regnes med</t>
  </si>
  <si>
    <t>Median LCOE regnes med</t>
  </si>
  <si>
    <t>Høy LCOE regnes med</t>
  </si>
  <si>
    <t>Lav tiltakskostnad</t>
  </si>
  <si>
    <t>Median tiltakskostnad</t>
  </si>
  <si>
    <t>Høy tiltakskostnad</t>
  </si>
  <si>
    <t>Lav DV-kostnad</t>
  </si>
  <si>
    <t>Median DV-kostnad</t>
  </si>
  <si>
    <t>Høy DV-kostnad</t>
  </si>
  <si>
    <t>Høy teknisk levetid</t>
  </si>
  <si>
    <t>Median teknisk levetid</t>
  </si>
  <si>
    <t>Lav teknisk levetid</t>
  </si>
  <si>
    <t>Lav rente</t>
  </si>
  <si>
    <t>Median rente</t>
  </si>
  <si>
    <t>Høy rente</t>
  </si>
  <si>
    <t>CASE:</t>
  </si>
  <si>
    <t>Utskifting til ny lavenergibelysning</t>
  </si>
  <si>
    <t>Utregningen gjelder kontorbygg.</t>
  </si>
  <si>
    <t>For arbeidsplasser og primærrom; utskiftning av eldre belysning (T8 mekanisk) til ny lavenergibelysning (T5 elektronisk) med dempingreaktor.</t>
  </si>
  <si>
    <t>Ny T5-armatur med normal standard, komplett med montering kr 2600 eks.mva pr stk. Gitt 1 armatur per cellekontor / arbeidsplass blir det ca 9 m2 per armatur, og altså 290 kr/m2.</t>
  </si>
  <si>
    <t>Alternativt høy standard på ny armatur, som vel må antas for dempingreaktor (?), kr 3300 eks.mva per stk, tilsv. 370kr/m²</t>
  </si>
  <si>
    <t>Demontering av gammel armatur (nedhengt) og bortkjøring antatt ca 500 kr /stk, dvs. 55 kr/m².</t>
  </si>
  <si>
    <t xml:space="preserve">For gangsoner, samlingsarealer, sekundærrom; utskifting fra gamle kompaktlysarmaturer til nye downlights. </t>
  </si>
  <si>
    <t>Downlights i himling komplett inkl. montering kr 840 eks.mva pr stk. Regner ca 6,5 m² per armatur (ca 4 W/m²), dvs. 130 kr/m².</t>
  </si>
  <si>
    <t>Demontering av gammel armatur (nedhengt) og bortkjøring antatt ca 200 kr /stk, dvs. 30 kr/m².</t>
  </si>
  <si>
    <t>Antatt 65% primærrom og 35% sekundærrom (ref. NS 3031 tabell H2):</t>
  </si>
  <si>
    <t>kr/m²</t>
  </si>
  <si>
    <t>Legger på 10 % for prosjektering:</t>
  </si>
  <si>
    <t>Tillegg himlingsarbeider dersom innfelte armaturer (kun primærareal):</t>
  </si>
  <si>
    <t>Ny sum inkl himlingsarbeider:</t>
  </si>
  <si>
    <t>Merkostnad for integrerte bevegelsessensorer i armaturene (primærareal):</t>
  </si>
  <si>
    <t>Merkostnad for multisensorer i sekundærarealer:</t>
  </si>
  <si>
    <t>Tillegg kr5000,- for frittstående multisensor med kombinert konstantlys og bevegelse for en sone. Regner hhv. 5 soner per etasje x 3 etg. Og 10 soner per etasje x 3 etg</t>
  </si>
  <si>
    <t>Sum merkostnad for lysstyringen:</t>
  </si>
  <si>
    <t>Etterinstallasjon lysstyring på eksisterende armaturer (gitt at belysningen er relativt ny, T5 elektronisk, og har dempingreaktor)</t>
  </si>
  <si>
    <t>Normal kompleksitet / grupper. Tilknytning til SD-anlegg. Normal kostnad/standard.</t>
  </si>
  <si>
    <t>Høy kompleksitet / styring enkeltarmaturer. Tilknytning til SD-anlegg. Høy kostnad/standard.</t>
  </si>
  <si>
    <t xml:space="preserve">Bevegelsessensorer i sekundærarealer (35% av 3600m2). Kr 8.000,- for multisensor per sone inkl. arbeid for tilknytningen av belysningen i grupper til denne. Regner 4 soner per etasje på 1000 m2, dvs. en spesifikk kostnad på 32 kr/m2. </t>
  </si>
  <si>
    <t xml:space="preserve">Besparelse romkjøling                    </t>
  </si>
  <si>
    <t>Satt romoppvarming til 21/19 (dag/natt) uendret sommer</t>
  </si>
  <si>
    <t>Satt lokalkjøling til 22gr, kun aktivt i perioden 1.mai - 1.sept</t>
  </si>
  <si>
    <t>Satt tilluftstemp ventilasjon til 19gr vinter og 16gr sommer</t>
  </si>
  <si>
    <t>Satt romoppvarming til 22gr vinter og 20gr sommer (mai-august)</t>
  </si>
  <si>
    <t>Satt lokalkjøling til 21gr, kun aktivt i perioden 1.mai - 1.sept</t>
  </si>
  <si>
    <t>Satt romoppvarming til 23gr vinter og 19gr sommer (mai-august)</t>
  </si>
  <si>
    <t>Satt lokalkjøling til 20gr, kun aktivt i perioden 1.mai - 1.sept</t>
  </si>
  <si>
    <t>Prosentbesparelse</t>
  </si>
  <si>
    <t>2% på romoppv, vent, vifter, pumper, vent.kjøling</t>
  </si>
  <si>
    <t>2% på alle energiposter</t>
  </si>
  <si>
    <t>5% på alle energiposter</t>
  </si>
  <si>
    <t>5% på romoppv, vent, vifter, pumper, vent.kjøling</t>
  </si>
  <si>
    <t>8% på alle energiposter</t>
  </si>
  <si>
    <t>10% på romoppv, vent, vifter, pumper, vent.kjøling</t>
  </si>
  <si>
    <t>Kr 3.000,- for multisensor per arbeidsplass / enkeltarmatur inkl. arbeid. For kontorbygg 3600m2 hvor 65% er primærareal og med 9m2/arbeidsplass blir det 260 arbeidsplasser. Spesifikk kostnad på 216 kr/m2</t>
  </si>
  <si>
    <t>Kr 8.000,- for multisensor per sone inkl. arbeid for tilknytningen av belysningen i grupper til denne. Regner åpent landskap og 15 rom/soner per etasje på 1000 m2, dvs. en spesifikk kostnad på 120 kr/m2</t>
  </si>
  <si>
    <t>Ift. mekanisk forkobling vil elektronisk forkobling (varmstart) forlenge levetiden fra typisk 40.000 timer til 54.000 timer (35 % lenger)</t>
  </si>
  <si>
    <t>http://hms.cobuilder.no/doc/Philips/MASTER_TL-D_X&amp;XX_Tenk_etter.pdf</t>
  </si>
  <si>
    <t>http://glamox.com/upload/2011/05/24/elektronisk-forkobling-i-lysarmaturer.pdf</t>
  </si>
  <si>
    <t>http://www.elektroimportoren.no/belysning/lyskilder-lyspaerer/lysroer-t4-t5/005027766/Catalog.html?Event=shopmenu</t>
  </si>
  <si>
    <t>Kostnad lysrør T8 - 36W er 37 kr/stk eks.mva + tenner 6 kr/stk eks.mva = tot 43 kr/stk eks.mva</t>
  </si>
  <si>
    <t>Kostnad lysrør T5 - 28W er 60kr/stk eks.mva</t>
  </si>
  <si>
    <t>RIE v/ Roar Rønningen:</t>
  </si>
  <si>
    <t>OBS! Disse kostnadene er ikke blitt oppdatert på mange år. De er indeksregulert fram til 2012, men har ikke fulgt markedet. Må erfaringsvis legge på minst 20%.</t>
  </si>
  <si>
    <t>Dette er entreprenørprisen. I tillegg kommer prosjektering, må legge på minst 10 %.</t>
  </si>
  <si>
    <t>For tiltak på eksisterende bygg kommer jo også i tillegg kostnad for demontering av gammelt belysningsutstyr.</t>
  </si>
  <si>
    <t>Er det innfelt belysning, vil det også avhengig av målene på nye og gamle lysarmaturer kunne blir meget kostbart med bygningsmessige hjelpearbeider (fylle hull i himling)</t>
  </si>
  <si>
    <t>Eksempel Ullevål sykehus. Valg av lysarmaturer som passet i eksisterenhde himling, tiltaket tjent inn på 3 år.Valg av lysarmaturer som ville ha medført himlingsarbeider, tiltaket tjent inn på 5 år.</t>
  </si>
  <si>
    <t>Kostnadene inkluderer kun enkel lysstyring ifa. brytere og bryterpaneler.</t>
  </si>
  <si>
    <t>Automatikk for lysstyring "gjemmer seg" i posten 56 Automatikk og SD -&gt; 563 Lokal styring</t>
  </si>
  <si>
    <t>Kursopplegg er imidlertid i separat post 43.</t>
  </si>
  <si>
    <t>Kostnadene fra Norsk Prisbok synes noe høye.</t>
  </si>
  <si>
    <t>MERKOSTNAD</t>
  </si>
  <si>
    <t>VED</t>
  </si>
  <si>
    <t>SAMTIDIG</t>
  </si>
  <si>
    <t>SKIFTE</t>
  </si>
  <si>
    <t>AV</t>
  </si>
  <si>
    <t>KLEDNING</t>
  </si>
  <si>
    <t>UTE / INNE</t>
  </si>
  <si>
    <t>ELLER</t>
  </si>
  <si>
    <t>PUSS</t>
  </si>
  <si>
    <t>FASADE</t>
  </si>
  <si>
    <t>Maling</t>
  </si>
  <si>
    <t>Etterisolering vegg MERKOSTNAD</t>
  </si>
  <si>
    <t>Tiltakskostnad</t>
  </si>
  <si>
    <t>Sum ekskl rigg/drift</t>
  </si>
  <si>
    <t>Byggforskserien 700.320 Intervaller for vedlikehold og utskifting av bygningsdeler, bærende konstruksjoner</t>
  </si>
  <si>
    <t>Byggforskserien 700.320 Intervaller for vedlikehold og utskifting av bygningsdeler, trevinduer (har størst intervall)</t>
  </si>
  <si>
    <t>Loft</t>
  </si>
  <si>
    <t>Tretak  200mm isolasjon, U-verdi  0,2. Skråtak med takstein</t>
  </si>
  <si>
    <t>Etterisolering tak 300 mm, U-verdi 0,08</t>
  </si>
  <si>
    <t>Isolasjon 200 + 100 mm, forskjøvet, samme her</t>
  </si>
  <si>
    <t>Oppforing 48x150 mm x 2, krysslagt + AVSTIVNING,  Enhetspris er dagens pris skal ikke har faktor.</t>
  </si>
  <si>
    <t>Ikke aktuelt alternativ</t>
  </si>
  <si>
    <t>Kaldtloft, 15cm isolasjon, U-verdi 0,30</t>
  </si>
  <si>
    <t>KOMPAKTTAK</t>
  </si>
  <si>
    <t>Loft +</t>
  </si>
  <si>
    <t>Etterisolering loft / merkostnad kompakttak</t>
  </si>
  <si>
    <t>"Totalkostnad"</t>
  </si>
  <si>
    <t>Alternativ kostnad [kr/m²]</t>
  </si>
  <si>
    <t>"Merkostnad"</t>
  </si>
  <si>
    <t>"Kompakttak totalkostnad"</t>
  </si>
  <si>
    <t>"Kaldtloft / merkostnad kompakttak"</t>
  </si>
  <si>
    <t>Alternativ kostnad</t>
  </si>
  <si>
    <t>Etterisolering tak/loft</t>
  </si>
  <si>
    <t>Banke ned gammel puss, utbedring underlag, ny puss av fasaden</t>
  </si>
  <si>
    <t>Benyttet</t>
  </si>
  <si>
    <r>
      <t>ENEBOLIG (160 m</t>
    </r>
    <r>
      <rPr>
        <b/>
        <u/>
        <vertAlign val="superscript"/>
        <sz val="14"/>
        <color theme="0" tint="-0.34998626667073579"/>
        <rFont val="Calibri"/>
        <family val="2"/>
        <scheme val="minor"/>
      </rPr>
      <t>2</t>
    </r>
    <r>
      <rPr>
        <b/>
        <u/>
        <sz val="14"/>
        <color theme="0" tint="-0.34998626667073579"/>
        <rFont val="Calibri"/>
        <family val="2"/>
        <scheme val="minor"/>
      </rPr>
      <t xml:space="preserve">): </t>
    </r>
  </si>
  <si>
    <r>
      <t>Normal standard (327 + 257 + 209)/3 =</t>
    </r>
    <r>
      <rPr>
        <u/>
        <sz val="11"/>
        <color theme="0" tint="-0.34998626667073579"/>
        <rFont val="Calibri"/>
        <family val="2"/>
        <scheme val="minor"/>
      </rPr>
      <t xml:space="preserve"> kr 264</t>
    </r>
  </si>
  <si>
    <r>
      <t xml:space="preserve">Høy standard (428 + 348 + 273)/3 = </t>
    </r>
    <r>
      <rPr>
        <u/>
        <sz val="11"/>
        <color theme="0" tint="-0.34998626667073579"/>
        <rFont val="Calibri"/>
        <family val="2"/>
        <scheme val="minor"/>
      </rPr>
      <t>kr 350</t>
    </r>
  </si>
  <si>
    <r>
      <t>BOLIGBLOKK (900 m</t>
    </r>
    <r>
      <rPr>
        <b/>
        <u/>
        <vertAlign val="superscript"/>
        <sz val="14"/>
        <color theme="0" tint="-0.34998626667073579"/>
        <rFont val="Calibri"/>
        <family val="2"/>
        <scheme val="minor"/>
      </rPr>
      <t>2</t>
    </r>
    <r>
      <rPr>
        <b/>
        <u/>
        <sz val="14"/>
        <color theme="0" tint="-0.34998626667073579"/>
        <rFont val="Calibri"/>
        <family val="2"/>
        <scheme val="minor"/>
      </rPr>
      <t xml:space="preserve">): </t>
    </r>
  </si>
  <si>
    <r>
      <t>Normal standard (327 + 314 + 273 )/3 =</t>
    </r>
    <r>
      <rPr>
        <u/>
        <sz val="11"/>
        <color theme="0" tint="-0.34998626667073579"/>
        <rFont val="Calibri"/>
        <family val="2"/>
        <scheme val="minor"/>
      </rPr>
      <t xml:space="preserve"> kr 304  </t>
    </r>
  </si>
  <si>
    <r>
      <t xml:space="preserve">Høy standard (439 + 402 + 364)/3 = </t>
    </r>
    <r>
      <rPr>
        <u/>
        <sz val="11"/>
        <color theme="0" tint="-0.34998626667073579"/>
        <rFont val="Calibri"/>
        <family val="2"/>
        <scheme val="minor"/>
      </rPr>
      <t xml:space="preserve">kr 402  </t>
    </r>
  </si>
  <si>
    <r>
      <t>KONTORBYGG (3600 m</t>
    </r>
    <r>
      <rPr>
        <b/>
        <u/>
        <vertAlign val="superscript"/>
        <sz val="14"/>
        <color theme="0" tint="-0.34998626667073579"/>
        <rFont val="Calibri"/>
        <family val="2"/>
        <scheme val="minor"/>
      </rPr>
      <t>2</t>
    </r>
    <r>
      <rPr>
        <b/>
        <u/>
        <sz val="14"/>
        <color theme="0" tint="-0.34998626667073579"/>
        <rFont val="Calibri"/>
        <family val="2"/>
        <scheme val="minor"/>
      </rPr>
      <t xml:space="preserve">): </t>
    </r>
  </si>
  <si>
    <r>
      <t>Normal standard (846 + 830 + 900)/3 =</t>
    </r>
    <r>
      <rPr>
        <u/>
        <sz val="11"/>
        <color theme="0" tint="-0.34998626667073579"/>
        <rFont val="Calibri"/>
        <family val="2"/>
        <scheme val="minor"/>
      </rPr>
      <t xml:space="preserve"> kr 859</t>
    </r>
  </si>
  <si>
    <r>
      <t xml:space="preserve">(VP: + 156 kr/m2 =  </t>
    </r>
    <r>
      <rPr>
        <u/>
        <sz val="11"/>
        <color theme="0" tint="-0.34998626667073579"/>
        <rFont val="Calibri"/>
        <family val="2"/>
        <scheme val="minor"/>
      </rPr>
      <t>kr 1.015</t>
    </r>
    <r>
      <rPr>
        <sz val="11"/>
        <color theme="0" tint="-0.34998626667073579"/>
        <rFont val="Calibri"/>
        <family val="2"/>
        <scheme val="minor"/>
      </rPr>
      <t>)</t>
    </r>
  </si>
  <si>
    <r>
      <t xml:space="preserve">Høy standard (1130 + 1094 + 1173)/3 = </t>
    </r>
    <r>
      <rPr>
        <u/>
        <sz val="11"/>
        <color theme="0" tint="-0.34998626667073579"/>
        <rFont val="Calibri"/>
        <family val="2"/>
        <scheme val="minor"/>
      </rPr>
      <t>kr 1.132</t>
    </r>
  </si>
  <si>
    <r>
      <t xml:space="preserve">(VP: + 156 kr/m2 =  </t>
    </r>
    <r>
      <rPr>
        <u/>
        <sz val="11"/>
        <color theme="0" tint="-0.34998626667073579"/>
        <rFont val="Calibri"/>
        <family val="2"/>
        <scheme val="minor"/>
      </rPr>
      <t>kr 1.288</t>
    </r>
    <r>
      <rPr>
        <sz val="11"/>
        <color theme="0" tint="-0.34998626667073579"/>
        <rFont val="Calibri"/>
        <family val="2"/>
        <scheme val="minor"/>
      </rPr>
      <t>)</t>
    </r>
  </si>
  <si>
    <t>Etterisolering vegg - alternativ kostnad</t>
  </si>
  <si>
    <t>Småhus: Fra TEK69-standard til passivhusnivå. Tiltak på yttertak. Boligblokk og kontorbygg: Fra TEK69-standard til passivhusnivå. Tiltak kompakttak.</t>
  </si>
  <si>
    <t>Småhus: Fra TEK87-standard til passivhusnivå. Tiltak på yttertak. Boligblokk og kontorbygg: Fra TEK87-standard til passivhusnivå. Tiltak kompakttak.</t>
  </si>
  <si>
    <t>Etterisolering tak/loft - alternativ kostnad</t>
  </si>
  <si>
    <r>
      <t xml:space="preserve">Småhus: Fra TEK87-standard til passivhusnivå. Tiltak på kaldtloft. Boligblokk og kontorbygg: Fra TEK87-standard til passivhusnivå. </t>
    </r>
    <r>
      <rPr>
        <b/>
        <sz val="11"/>
        <rFont val="Calibri"/>
        <family val="2"/>
        <scheme val="minor"/>
      </rPr>
      <t>Merkostnaden</t>
    </r>
    <r>
      <rPr>
        <sz val="11"/>
        <rFont val="Calibri"/>
        <family val="2"/>
        <scheme val="minor"/>
      </rPr>
      <t xml:space="preserve"> for tiltak kompakttak.</t>
    </r>
  </si>
  <si>
    <r>
      <t xml:space="preserve">Småhus: Fra TEK69-standard til passivhusnivå. Tiltak på kaldtloft. Boligblokk og kontorbygg: Fra TEK69-standard til passivhusnivå. </t>
    </r>
    <r>
      <rPr>
        <b/>
        <sz val="11"/>
        <rFont val="Calibri"/>
        <family val="2"/>
        <scheme val="minor"/>
      </rPr>
      <t>Merkostnaden</t>
    </r>
    <r>
      <rPr>
        <sz val="11"/>
        <rFont val="Calibri"/>
        <family val="2"/>
        <scheme val="minor"/>
      </rPr>
      <t xml:space="preserve"> for tiltak kompakttak.</t>
    </r>
  </si>
  <si>
    <t>Småhus: Fra før TEK49-standard til passivhusnivå. Tiltak på kaldtloft. Boligblokk og kontorbygg: Fra TEK69-standard til passivhusnivå. Tiltak kaldtloft.</t>
  </si>
  <si>
    <r>
      <rPr>
        <b/>
        <sz val="11"/>
        <color theme="1"/>
        <rFont val="Calibri"/>
        <family val="2"/>
        <scheme val="minor"/>
      </rPr>
      <t>Merkostnaden</t>
    </r>
    <r>
      <rPr>
        <sz val="11"/>
        <color theme="1"/>
        <rFont val="Calibri"/>
        <family val="2"/>
        <scheme val="minor"/>
      </rPr>
      <t xml:space="preserve"> ved å etterisolere ved samtidig skifte av kledning / ny fasade på yttervegg. Fra TEK87-standard til passivhusnivå.</t>
    </r>
  </si>
  <si>
    <r>
      <rPr>
        <b/>
        <sz val="11"/>
        <color theme="1"/>
        <rFont val="Calibri"/>
        <family val="2"/>
        <scheme val="minor"/>
      </rPr>
      <t>Merkostnaden</t>
    </r>
    <r>
      <rPr>
        <sz val="11"/>
        <color theme="1"/>
        <rFont val="Calibri"/>
        <family val="2"/>
        <scheme val="minor"/>
      </rPr>
      <t xml:space="preserve"> ved å etterisolere ved samtidig skifte av kledning / ny fasade på yttervegg. Fra TEK69-standard til passivhusnivå. </t>
    </r>
  </si>
  <si>
    <r>
      <rPr>
        <b/>
        <sz val="11"/>
        <color theme="1"/>
        <rFont val="Calibri"/>
        <family val="2"/>
        <scheme val="minor"/>
      </rPr>
      <t>Merkostnaden</t>
    </r>
    <r>
      <rPr>
        <sz val="11"/>
        <color theme="1"/>
        <rFont val="Calibri"/>
        <family val="2"/>
        <scheme val="minor"/>
      </rPr>
      <t xml:space="preserve"> ved å etterisolere ved samtidig skifte av kledning / ny fasade på yttervegg. Fra "Eldre"-standard til passivhusnivå.</t>
    </r>
  </si>
  <si>
    <t xml:space="preserve">Fra TEK87-standard til passivhusnivå. </t>
  </si>
  <si>
    <t xml:space="preserve">Fra TEK69-standard til passivhusnivå. </t>
  </si>
  <si>
    <t xml:space="preserve">Fra "Eldre"-standard til passivhusnivå. </t>
  </si>
  <si>
    <t xml:space="preserve">Småhus og Kontorbygg: Fra TEK69-standard til passivhusnivå. Tiltak på gulv på grunn (oppigging). Boligblokk: Fra TEK87-standard til passivhusnivå. Tiltak på etasjeskiller mot kald kjeller. </t>
  </si>
  <si>
    <t>Småhus og Kontorbygg: Fra Eldre-standard til passivhusnivå. Tiltak på etasjeskiller mot kald kjeller.  Boligblokk: Fra Eldre-standard til passivhusnivå. Tiltak på etaskeskiller mot kald kjeller.</t>
  </si>
  <si>
    <t xml:space="preserve">Småhus, boligblokk og kontorbygg: Fra TEK69-standard til passivhusnivå. Tiltak på gulv på grunn (oppigging). </t>
  </si>
  <si>
    <t>Til passivhusnivå. Normal løsning/matrialkvalitet. Lav markedspris.</t>
  </si>
  <si>
    <t>Varmegjenvinning ventilasjon</t>
  </si>
  <si>
    <t>Større ombygging på eksisterende aggregat. Normal-høy markedspris.</t>
  </si>
  <si>
    <t>Utskifting til nytt aggregat. Normal-høy markedspris.</t>
  </si>
  <si>
    <t>Utskifting til nytt aggregat. Normal - høy markedspris.</t>
  </si>
  <si>
    <t>Vent.anlegg m/dagens normale luftmengder oppgraderes til full behovsstyring DCV (temp/CO2/tilstedeværelse).</t>
  </si>
  <si>
    <t>Referanse Norsk Prisbok median</t>
  </si>
  <si>
    <t>Potensialstudein</t>
  </si>
  <si>
    <t>Holte Byggsafe FDV-nøkkelen, intervaller og levetider, styreventil</t>
  </si>
  <si>
    <t>For småhus og boligblokk også alternativt nattsekning på elektriske ovner. Ettermontering av sentralstyringsautomatikk på eksisterende ovner. Alternativt utskiftning av ovner komplett.</t>
  </si>
  <si>
    <t>Besparelse ved romkjøling</t>
  </si>
  <si>
    <t>mer enn Holte enkelt standard</t>
  </si>
  <si>
    <t>mer enn Holte høy standard</t>
  </si>
  <si>
    <t>Lysrør T5 koster 40% mer. Dette går tilnærmet "opp i opp" med besparelsen som følge av lengre brenntid og dermed lenger mellom hvert skift.</t>
  </si>
  <si>
    <t>Etterinstallasjon på eksisterende belysningsutstyr. Normal kompleksitet / grupper. Normal kostnad/standard.</t>
  </si>
  <si>
    <t>Tilknytning til SD-anlegg, antar rund sum 600.000,- for kabling, undersentraler og programmering SD-anlegg, for lite kontorbygg 3600m2, dvs 170 kr/m²</t>
  </si>
  <si>
    <t>Sum 420 kr/m²</t>
  </si>
  <si>
    <t>Legger på 10 % for prosjektering, dvs. tot. 460 kr/m2</t>
  </si>
  <si>
    <t>Legger på 10 % for prosjektering, dvs. tot. 130 kr/m2</t>
  </si>
  <si>
    <t>Holte Byggsafe FDV-nøkkelen, intervaller og levetider, vektet snitt motorer og driftstidsstyring</t>
  </si>
  <si>
    <t>Normal antall målere, benytter timesdata via nettleverandør og eksport til ekstern leverandør av EOS (Småhus og boligblokk. Manuell kostnadsfri EOS)</t>
  </si>
  <si>
    <t>Normal antall målere, benytter timesdata via nettleverandør og eksport til ekstern leverandør av EOS. Eller EOS via SD-anlegg. Kursbehov/opplæring driftspersonell og forvalter. (Småhus: Manuell kostnadsfri EOS. Boligblokk: Målere fellesanlegg timesdata fra netteier resterende manuelt avlest, til ekstern EOS)</t>
  </si>
  <si>
    <t>Gjennomsnittlig levetid er 10 år, Oslo kommune Klima- og energifond</t>
  </si>
  <si>
    <t>Oslo kommune Klima- og energifond, vanlig levetid (administrasjons/driftstiltak)</t>
  </si>
  <si>
    <t>Holte Byggsafe FDV-nøkkelen, intervaller og levetider, snitt av ulike komponenter</t>
  </si>
  <si>
    <t>timer/år</t>
  </si>
  <si>
    <t>Levetid lysrør T8 mekanisk forkobling:</t>
  </si>
  <si>
    <t>Levetid lysrør T5 elektronisk forkobling:</t>
  </si>
  <si>
    <t>år</t>
  </si>
  <si>
    <t>Timer/år</t>
  </si>
  <si>
    <t>Teknisk levetid tiltaket:</t>
  </si>
  <si>
    <t>Antall lysrørsskift T8 i levetiden:</t>
  </si>
  <si>
    <t>Antall lysrørsskift T5 i levetiden:</t>
  </si>
  <si>
    <t>stk</t>
  </si>
  <si>
    <t>lysrør</t>
  </si>
  <si>
    <t>Kostnad T8: 36W lysrør, 12 W/m², 3600m2</t>
  </si>
  <si>
    <t>Kostnad T5: 28W lysrør, 8 W/m², 3600m3</t>
  </si>
  <si>
    <t>Kost lysrør</t>
  </si>
  <si>
    <t>Kost arbeid skifte</t>
  </si>
  <si>
    <t>Kost arbeid skifte, antatt 50 kr/stk</t>
  </si>
  <si>
    <t>Sum i levetiden</t>
  </si>
  <si>
    <t>Diff</t>
  </si>
  <si>
    <t>Diff per år</t>
  </si>
  <si>
    <t>Antar samme forhold ved lysstyringstiltaket</t>
  </si>
  <si>
    <t>Kontor</t>
  </si>
  <si>
    <t>Skole</t>
  </si>
  <si>
    <t>Universitet og høgskole</t>
  </si>
  <si>
    <t>Idrettsbygg</t>
  </si>
  <si>
    <t>Forretning</t>
  </si>
  <si>
    <t>Kulturbygg</t>
  </si>
  <si>
    <t>Lav LCOE</t>
  </si>
  <si>
    <t>Median LCOE</t>
  </si>
  <si>
    <t>Høy LCOE</t>
  </si>
  <si>
    <t>DV-kostnad [kr/år]</t>
  </si>
  <si>
    <t>Tiltakskostnad [kr]</t>
  </si>
  <si>
    <t>Investering/areal</t>
  </si>
  <si>
    <t>Varme/areal</t>
  </si>
  <si>
    <t>Effekt [kW]</t>
  </si>
  <si>
    <t>Brukstid [h]</t>
  </si>
  <si>
    <t>Varmeleveranse [kWh/år]</t>
  </si>
  <si>
    <t>Areal [m2]</t>
  </si>
  <si>
    <t>COWI</t>
  </si>
  <si>
    <t>Prisjustering 2012-2016:</t>
  </si>
  <si>
    <t>Prisjustering 2014-2016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</si>
</sst>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kr&quot;\ #,##0;[Red]&quot;kr&quot;\ \-#,##0"/>
    <numFmt numFmtId="8" formatCode="&quot;kr&quot;\ #,##0.00;[Red]&quot;kr&quot;\ \-#,##0.00"/>
    <numFmt numFmtId="43" formatCode="_ * #,##0.00_ ;_ * \-#,##0.00_ ;_ * &quot;-&quot;??_ ;_ @_ "/>
    <numFmt numFmtId="164" formatCode="#,##0_ ;\-#,##0\ "/>
    <numFmt numFmtId="165" formatCode="_ * #,##0_ ;_ * \-#,##0_ ;_ * &quot;-&quot;??_ ;_ @_ "/>
    <numFmt numFmtId="166" formatCode="#,##0.0"/>
    <numFmt numFmtId="167" formatCode="0.000"/>
    <numFmt numFmtId="168" formatCode="0.0"/>
    <numFmt numFmtId="169" formatCode="#,##0.0;\-#,##0.0"/>
  </numFmts>
  <fonts count="6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0"/>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sz val="11"/>
      <name val="Calibri"/>
      <family val="2"/>
    </font>
    <font>
      <b/>
      <sz val="11"/>
      <name val="Calibri"/>
      <family val="2"/>
      <scheme val="minor"/>
    </font>
    <font>
      <b/>
      <sz val="12"/>
      <color theme="1"/>
      <name val="Calibri"/>
      <family val="2"/>
      <scheme val="minor"/>
    </font>
    <font>
      <b/>
      <sz val="16"/>
      <color theme="1"/>
      <name val="Calibri"/>
      <family val="2"/>
      <scheme val="minor"/>
    </font>
    <font>
      <sz val="11"/>
      <color theme="1"/>
      <name val="Calibri"/>
      <family val="2"/>
      <scheme val="minor"/>
    </font>
    <font>
      <b/>
      <sz val="10"/>
      <name val="Arial"/>
      <family val="2"/>
    </font>
    <font>
      <b/>
      <sz val="11"/>
      <color theme="1"/>
      <name val="Times New Roman"/>
      <family val="1"/>
    </font>
    <font>
      <sz val="11"/>
      <color theme="1"/>
      <name val="Times New Roman"/>
      <family val="1"/>
    </font>
    <font>
      <b/>
      <sz val="10"/>
      <color rgb="FF00B050"/>
      <name val="Arial"/>
      <family val="2"/>
    </font>
    <font>
      <sz val="10"/>
      <color theme="1"/>
      <name val="Times New Roman"/>
      <family val="1"/>
    </font>
    <font>
      <b/>
      <sz val="10"/>
      <color theme="1"/>
      <name val="Times New Roman"/>
      <family val="1"/>
    </font>
    <font>
      <sz val="10"/>
      <color rgb="FF00B050"/>
      <name val="Arial"/>
      <family val="2"/>
    </font>
    <font>
      <sz val="10"/>
      <color rgb="FFFF0000"/>
      <name val="Times New Roman"/>
      <family val="1"/>
    </font>
    <font>
      <b/>
      <sz val="10"/>
      <color rgb="FFFF0000"/>
      <name val="Times New Roman"/>
      <family val="1"/>
    </font>
    <font>
      <sz val="10"/>
      <color rgb="FFFF0000"/>
      <name val="Arial"/>
      <family val="2"/>
    </font>
    <font>
      <b/>
      <sz val="9"/>
      <color theme="1"/>
      <name val="Times New Roman"/>
      <family val="1"/>
    </font>
    <font>
      <b/>
      <sz val="10"/>
      <name val="Times New Roman"/>
      <family val="1"/>
    </font>
    <font>
      <sz val="8"/>
      <name val="Arial"/>
      <family val="2"/>
    </font>
    <font>
      <vertAlign val="superscript"/>
      <sz val="10"/>
      <name val="Arial"/>
      <family val="2"/>
    </font>
    <font>
      <i/>
      <sz val="10"/>
      <name val="Arial"/>
      <family val="2"/>
    </font>
    <font>
      <b/>
      <sz val="11"/>
      <name val="Calibri"/>
      <family val="2"/>
    </font>
    <font>
      <b/>
      <sz val="11"/>
      <color rgb="FF00B050"/>
      <name val="Calibri"/>
      <family val="2"/>
    </font>
    <font>
      <sz val="11"/>
      <color rgb="FF00B050"/>
      <name val="Calibri"/>
      <family val="2"/>
    </font>
    <font>
      <sz val="10"/>
      <name val="Calibri"/>
      <family val="2"/>
    </font>
    <font>
      <sz val="10"/>
      <name val="Times New Roman"/>
      <family val="1"/>
    </font>
    <font>
      <sz val="11"/>
      <color rgb="FF000000"/>
      <name val="Calibri"/>
      <family val="2"/>
    </font>
    <font>
      <b/>
      <sz val="11"/>
      <color rgb="FF000000"/>
      <name val="Calibri"/>
      <family val="2"/>
    </font>
    <font>
      <sz val="10"/>
      <color rgb="FF00B0F0"/>
      <name val="Arial"/>
      <family val="2"/>
    </font>
    <font>
      <sz val="10"/>
      <color theme="3" tint="0.39997558519241921"/>
      <name val="Arial"/>
      <family val="2"/>
    </font>
    <font>
      <b/>
      <sz val="10"/>
      <color theme="3" tint="0.39997558519241921"/>
      <name val="Arial"/>
      <family val="2"/>
    </font>
    <font>
      <sz val="10"/>
      <color indexed="10"/>
      <name val="Arial"/>
      <family val="2"/>
    </font>
    <font>
      <u/>
      <sz val="8"/>
      <color indexed="81"/>
      <name val="Tahoma"/>
      <family val="2"/>
    </font>
    <font>
      <u/>
      <sz val="9"/>
      <color indexed="81"/>
      <name val="Tahoma"/>
      <family val="2"/>
    </font>
    <font>
      <u/>
      <sz val="11"/>
      <color theme="10"/>
      <name val="Calibri"/>
      <family val="2"/>
      <scheme val="minor"/>
    </font>
    <font>
      <sz val="10"/>
      <color theme="1"/>
      <name val="Arial"/>
      <family val="2"/>
    </font>
    <font>
      <b/>
      <sz val="10"/>
      <color theme="1"/>
      <name val="Arial"/>
      <family val="2"/>
    </font>
    <font>
      <vertAlign val="superscript"/>
      <sz val="10"/>
      <color theme="1"/>
      <name val="Arial"/>
      <family val="2"/>
    </font>
    <font>
      <b/>
      <sz val="11"/>
      <color rgb="FFFF0000"/>
      <name val="Calibri"/>
      <family val="2"/>
      <scheme val="minor"/>
    </font>
    <font>
      <sz val="11"/>
      <color rgb="FF1F497D"/>
      <name val="Calibri"/>
      <family val="2"/>
      <scheme val="minor"/>
    </font>
    <font>
      <b/>
      <sz val="11"/>
      <color rgb="FFFFC000"/>
      <name val="Calibri"/>
      <family val="2"/>
      <scheme val="minor"/>
    </font>
    <font>
      <b/>
      <sz val="11"/>
      <color rgb="FF00B050"/>
      <name val="Calibri"/>
      <family val="2"/>
      <scheme val="minor"/>
    </font>
    <font>
      <b/>
      <sz val="10"/>
      <color rgb="FFFF0000"/>
      <name val="Arial"/>
      <family val="2"/>
    </font>
    <font>
      <sz val="11"/>
      <color theme="0" tint="-0.249977111117893"/>
      <name val="Calibri"/>
      <family val="2"/>
      <scheme val="minor"/>
    </font>
    <font>
      <b/>
      <sz val="10"/>
      <color theme="0" tint="-0.249977111117893"/>
      <name val="Arial"/>
      <family val="2"/>
    </font>
    <font>
      <b/>
      <sz val="11"/>
      <color theme="0" tint="-0.249977111117893"/>
      <name val="Calibri"/>
      <family val="2"/>
      <scheme val="minor"/>
    </font>
    <font>
      <sz val="10"/>
      <color theme="0" tint="-0.249977111117893"/>
      <name val="Arial"/>
      <family val="2"/>
    </font>
    <font>
      <u/>
      <sz val="10"/>
      <color theme="0" tint="-0.249977111117893"/>
      <name val="Arial"/>
      <family val="2"/>
    </font>
    <font>
      <i/>
      <sz val="10"/>
      <color theme="0" tint="-0.249977111117893"/>
      <name val="Arial"/>
      <family val="2"/>
    </font>
    <font>
      <b/>
      <sz val="16"/>
      <name val="Calibri"/>
      <family val="2"/>
      <scheme val="minor"/>
    </font>
    <font>
      <b/>
      <sz val="14"/>
      <color theme="1"/>
      <name val="Calibri"/>
      <family val="2"/>
      <scheme val="minor"/>
    </font>
    <font>
      <sz val="12"/>
      <color theme="1"/>
      <name val="Calibri"/>
      <family val="2"/>
      <scheme val="minor"/>
    </font>
    <font>
      <b/>
      <sz val="12"/>
      <name val="Calibri"/>
      <family val="2"/>
      <scheme val="minor"/>
    </font>
    <font>
      <sz val="12"/>
      <name val="Calibri"/>
      <family val="2"/>
      <scheme val="minor"/>
    </font>
    <font>
      <b/>
      <sz val="14"/>
      <color theme="0" tint="-0.34998626667073579"/>
      <name val="Calibri"/>
      <family val="2"/>
      <scheme val="minor"/>
    </font>
    <font>
      <sz val="11"/>
      <color theme="0" tint="-0.34998626667073579"/>
      <name val="Calibri"/>
      <family val="2"/>
      <scheme val="minor"/>
    </font>
    <font>
      <b/>
      <u/>
      <sz val="14"/>
      <color theme="0" tint="-0.34998626667073579"/>
      <name val="Calibri"/>
      <family val="2"/>
      <scheme val="minor"/>
    </font>
    <font>
      <b/>
      <u/>
      <vertAlign val="superscript"/>
      <sz val="14"/>
      <color theme="0" tint="-0.34998626667073579"/>
      <name val="Calibri"/>
      <family val="2"/>
      <scheme val="minor"/>
    </font>
    <font>
      <b/>
      <u/>
      <sz val="11"/>
      <color theme="0" tint="-0.34998626667073579"/>
      <name val="Calibri"/>
      <family val="2"/>
      <scheme val="minor"/>
    </font>
    <font>
      <u/>
      <sz val="11"/>
      <color theme="0" tint="-0.34998626667073579"/>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7030A0"/>
        <bgColor indexed="64"/>
      </patternFill>
    </fill>
    <fill>
      <patternFill patternType="solid">
        <fgColor indexed="50"/>
        <bgColor indexed="64"/>
      </patternFill>
    </fill>
    <fill>
      <patternFill patternType="solid">
        <fgColor indexed="13"/>
        <bgColor indexed="64"/>
      </patternFill>
    </fill>
    <fill>
      <patternFill patternType="solid">
        <fgColor rgb="FFFFC000"/>
        <bgColor indexed="64"/>
      </patternFill>
    </fill>
    <fill>
      <patternFill patternType="solid">
        <fgColor indexed="53"/>
        <bgColor indexed="64"/>
      </patternFill>
    </fill>
    <fill>
      <patternFill patternType="solid">
        <fgColor indexed="10"/>
        <bgColor indexed="64"/>
      </patternFill>
    </fill>
    <fill>
      <patternFill patternType="solid">
        <fgColor theme="5" tint="-0.249977111117893"/>
        <bgColor indexed="64"/>
      </patternFill>
    </fill>
    <fill>
      <patternFill patternType="solid">
        <fgColor rgb="FFFF0000"/>
        <bgColor indexed="64"/>
      </patternFill>
    </fill>
    <fill>
      <patternFill patternType="solid">
        <fgColor indexed="17"/>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hair">
        <color auto="1"/>
      </bottom>
      <diagonal/>
    </border>
    <border>
      <left style="hair">
        <color auto="1"/>
      </left>
      <right style="thin">
        <color indexed="64"/>
      </right>
      <top style="hair">
        <color auto="1"/>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hair">
        <color auto="1"/>
      </bottom>
      <diagonal/>
    </border>
  </borders>
  <cellStyleXfs count="4">
    <xf numFmtId="0" fontId="0" fillId="0" borderId="0"/>
    <xf numFmtId="43" fontId="13" fillId="0" borderId="0" applyFont="0" applyFill="0" applyBorder="0" applyAlignment="0" applyProtection="0"/>
    <xf numFmtId="9" fontId="13" fillId="0" borderId="0" applyFont="0" applyFill="0" applyBorder="0" applyAlignment="0" applyProtection="0"/>
    <xf numFmtId="0" fontId="42" fillId="0" borderId="0" applyNumberFormat="0" applyFill="0" applyBorder="0" applyAlignment="0" applyProtection="0"/>
  </cellStyleXfs>
  <cellXfs count="718">
    <xf numFmtId="0" fontId="0" fillId="0" borderId="0" xfId="0"/>
    <xf numFmtId="0" fontId="0" fillId="0" borderId="0" xfId="0" applyBorder="1"/>
    <xf numFmtId="0" fontId="0" fillId="0" borderId="0" xfId="0" applyFill="1" applyBorder="1"/>
    <xf numFmtId="0" fontId="3" fillId="0" borderId="0" xfId="0" applyFont="1"/>
    <xf numFmtId="0" fontId="1" fillId="0" borderId="0" xfId="0" applyFont="1"/>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8" xfId="0" applyFont="1" applyFill="1" applyBorder="1" applyAlignment="1">
      <alignment horizontal="left" vertical="top"/>
    </xf>
    <xf numFmtId="0" fontId="11" fillId="5" borderId="7" xfId="0" applyFont="1" applyFill="1" applyBorder="1" applyAlignment="1">
      <alignment horizontal="left" vertical="top" wrapText="1"/>
    </xf>
    <xf numFmtId="0" fontId="11" fillId="5" borderId="8" xfId="0" applyFont="1" applyFill="1" applyBorder="1" applyAlignment="1">
      <alignment horizontal="left" vertical="top" wrapText="1"/>
    </xf>
    <xf numFmtId="0" fontId="11" fillId="5" borderId="8" xfId="0" applyFont="1" applyFill="1" applyBorder="1" applyAlignment="1">
      <alignment horizontal="center" vertical="top"/>
    </xf>
    <xf numFmtId="0" fontId="11" fillId="0" borderId="8" xfId="0" applyFont="1" applyBorder="1" applyAlignment="1">
      <alignment horizontal="left" vertical="top"/>
    </xf>
    <xf numFmtId="0" fontId="0" fillId="0" borderId="8" xfId="0" applyBorder="1" applyAlignment="1">
      <alignment horizontal="left" vertical="top" wrapText="1"/>
    </xf>
    <xf numFmtId="0" fontId="0" fillId="0" borderId="8" xfId="0" applyBorder="1" applyAlignment="1">
      <alignment horizontal="left" vertical="top"/>
    </xf>
    <xf numFmtId="0" fontId="0" fillId="0" borderId="8" xfId="0" applyBorder="1" applyAlignment="1">
      <alignment horizontal="right" vertical="top"/>
    </xf>
    <xf numFmtId="0" fontId="4" fillId="0" borderId="0" xfId="0" applyFont="1" applyFill="1" applyBorder="1"/>
    <xf numFmtId="0" fontId="10" fillId="0" borderId="0" xfId="0" applyFont="1"/>
    <xf numFmtId="0" fontId="0" fillId="0" borderId="1" xfId="0" applyBorder="1"/>
    <xf numFmtId="0" fontId="0" fillId="0" borderId="5" xfId="0" applyBorder="1"/>
    <xf numFmtId="0" fontId="12" fillId="0" borderId="7" xfId="0" applyFont="1" applyBorder="1" applyAlignment="1">
      <alignment horizontal="left" vertical="top" wrapText="1"/>
    </xf>
    <xf numFmtId="0" fontId="14" fillId="0" borderId="0" xfId="0" applyFont="1"/>
    <xf numFmtId="0" fontId="4" fillId="0" borderId="0" xfId="0" applyFont="1"/>
    <xf numFmtId="0" fontId="14" fillId="0" borderId="2" xfId="0" applyFont="1" applyBorder="1"/>
    <xf numFmtId="0" fontId="14" fillId="0" borderId="4" xfId="0" applyFont="1" applyBorder="1"/>
    <xf numFmtId="0" fontId="4" fillId="0" borderId="9" xfId="0" applyFont="1" applyBorder="1"/>
    <xf numFmtId="0" fontId="0" fillId="0" borderId="14" xfId="0" applyBorder="1"/>
    <xf numFmtId="0" fontId="4" fillId="0" borderId="6" xfId="0" applyFont="1" applyBorder="1"/>
    <xf numFmtId="0" fontId="0" fillId="0" borderId="15" xfId="0" applyBorder="1"/>
    <xf numFmtId="0" fontId="13" fillId="0" borderId="0" xfId="0" applyFont="1"/>
    <xf numFmtId="0" fontId="15" fillId="7" borderId="1" xfId="0" applyFont="1" applyFill="1" applyBorder="1" applyAlignment="1">
      <alignment vertical="top" wrapText="1"/>
    </xf>
    <xf numFmtId="0" fontId="15" fillId="7" borderId="1" xfId="0" applyFont="1" applyFill="1" applyBorder="1" applyAlignment="1">
      <alignment horizontal="left" vertical="top" wrapText="1"/>
    </xf>
    <xf numFmtId="0" fontId="15" fillId="7" borderId="1" xfId="0" applyFont="1" applyFill="1" applyBorder="1" applyAlignment="1">
      <alignment horizontal="center" wrapText="1"/>
    </xf>
    <xf numFmtId="0" fontId="16" fillId="0" borderId="0" xfId="0" applyFont="1" applyFill="1" applyBorder="1" applyAlignment="1">
      <alignment vertical="center"/>
    </xf>
    <xf numFmtId="0" fontId="15" fillId="7" borderId="1" xfId="0" applyFont="1" applyFill="1" applyBorder="1" applyAlignment="1">
      <alignment vertical="center" wrapText="1"/>
    </xf>
    <xf numFmtId="0" fontId="15" fillId="0" borderId="16" xfId="0" applyFont="1" applyFill="1" applyBorder="1" applyAlignment="1">
      <alignment vertical="top" wrapText="1"/>
    </xf>
    <xf numFmtId="0" fontId="15" fillId="0" borderId="0" xfId="0" applyFont="1" applyFill="1" applyBorder="1" applyAlignment="1">
      <alignment vertical="top" wrapText="1"/>
    </xf>
    <xf numFmtId="0" fontId="14" fillId="0" borderId="0" xfId="0" applyFont="1" applyAlignment="1">
      <alignment wrapText="1"/>
    </xf>
    <xf numFmtId="0" fontId="17" fillId="0" borderId="0" xfId="0" applyFont="1"/>
    <xf numFmtId="0" fontId="18" fillId="0" borderId="1" xfId="0" applyFont="1" applyBorder="1" applyAlignment="1">
      <alignment wrapText="1"/>
    </xf>
    <xf numFmtId="164" fontId="18" fillId="0" borderId="1" xfId="1" applyNumberFormat="1" applyFont="1" applyBorder="1"/>
    <xf numFmtId="165" fontId="18" fillId="0" borderId="1" xfId="1" applyNumberFormat="1" applyFont="1" applyBorder="1"/>
    <xf numFmtId="165" fontId="19" fillId="0" borderId="1" xfId="1" applyNumberFormat="1" applyFont="1" applyFill="1" applyBorder="1" applyAlignment="1">
      <alignment vertical="center" wrapText="1"/>
    </xf>
    <xf numFmtId="165" fontId="0" fillId="0" borderId="0" xfId="0" applyNumberFormat="1"/>
    <xf numFmtId="164" fontId="0" fillId="0" borderId="0" xfId="0" applyNumberFormat="1"/>
    <xf numFmtId="9" fontId="0" fillId="0" borderId="0" xfId="2" applyFont="1"/>
    <xf numFmtId="0" fontId="20" fillId="0" borderId="0" xfId="0" applyFont="1"/>
    <xf numFmtId="0" fontId="21" fillId="0" borderId="1" xfId="0" applyFont="1" applyBorder="1" applyAlignment="1">
      <alignment wrapText="1"/>
    </xf>
    <xf numFmtId="164" fontId="21" fillId="0" borderId="1" xfId="1" applyNumberFormat="1" applyFont="1" applyBorder="1"/>
    <xf numFmtId="165" fontId="22" fillId="0" borderId="1" xfId="1" applyNumberFormat="1" applyFont="1" applyFill="1" applyBorder="1" applyAlignment="1">
      <alignment vertical="center" wrapText="1"/>
    </xf>
    <xf numFmtId="165" fontId="23" fillId="0" borderId="0" xfId="0" applyNumberFormat="1" applyFont="1"/>
    <xf numFmtId="164" fontId="23" fillId="0" borderId="0" xfId="0" applyNumberFormat="1" applyFont="1"/>
    <xf numFmtId="0" fontId="23" fillId="0" borderId="0" xfId="0" applyFont="1"/>
    <xf numFmtId="0" fontId="24" fillId="7" borderId="1" xfId="0" applyFont="1" applyFill="1" applyBorder="1" applyAlignment="1">
      <alignment wrapText="1"/>
    </xf>
    <xf numFmtId="164" fontId="24" fillId="7" borderId="1" xfId="1" applyNumberFormat="1" applyFont="1" applyFill="1" applyBorder="1" applyAlignment="1">
      <alignment vertical="center" wrapText="1"/>
    </xf>
    <xf numFmtId="164" fontId="19" fillId="7" borderId="1" xfId="1" applyNumberFormat="1" applyFont="1" applyFill="1" applyBorder="1"/>
    <xf numFmtId="165" fontId="19" fillId="7" borderId="1" xfId="1" applyNumberFormat="1" applyFont="1" applyFill="1" applyBorder="1"/>
    <xf numFmtId="165" fontId="25" fillId="7" borderId="1" xfId="1" applyNumberFormat="1" applyFont="1" applyFill="1" applyBorder="1" applyAlignment="1">
      <alignment vertical="center" wrapText="1"/>
    </xf>
    <xf numFmtId="165" fontId="0" fillId="0" borderId="0" xfId="1" applyNumberFormat="1" applyFont="1"/>
    <xf numFmtId="0" fontId="26" fillId="0" borderId="0" xfId="0" applyFont="1"/>
    <xf numFmtId="0" fontId="4" fillId="0" borderId="0" xfId="0" quotePrefix="1" applyFont="1" applyAlignment="1">
      <alignment horizontal="right"/>
    </xf>
    <xf numFmtId="0" fontId="14" fillId="0" borderId="0" xfId="0" applyFont="1" applyAlignment="1">
      <alignment vertical="top" wrapText="1"/>
    </xf>
    <xf numFmtId="3" fontId="0" fillId="0" borderId="0" xfId="2" applyNumberFormat="1" applyFont="1"/>
    <xf numFmtId="3" fontId="0" fillId="0" borderId="0" xfId="0" applyNumberFormat="1"/>
    <xf numFmtId="0" fontId="4" fillId="0" borderId="13" xfId="0" applyFont="1" applyBorder="1"/>
    <xf numFmtId="0" fontId="4" fillId="0" borderId="13" xfId="0" applyFont="1" applyBorder="1" applyAlignment="1"/>
    <xf numFmtId="0" fontId="4" fillId="0" borderId="13" xfId="0" applyFont="1" applyFill="1" applyBorder="1"/>
    <xf numFmtId="0" fontId="0" fillId="0" borderId="13" xfId="0" applyBorder="1"/>
    <xf numFmtId="0" fontId="0" fillId="0" borderId="17" xfId="0" applyBorder="1"/>
    <xf numFmtId="0" fontId="0" fillId="0" borderId="6" xfId="0" applyBorder="1"/>
    <xf numFmtId="0" fontId="4" fillId="0" borderId="10" xfId="0" applyFont="1" applyBorder="1"/>
    <xf numFmtId="0" fontId="4" fillId="0" borderId="10" xfId="0" applyFont="1" applyBorder="1" applyAlignment="1"/>
    <xf numFmtId="0" fontId="0" fillId="0" borderId="10" xfId="0" applyBorder="1"/>
    <xf numFmtId="0" fontId="4" fillId="0" borderId="10" xfId="0" applyFont="1" applyFill="1" applyBorder="1"/>
    <xf numFmtId="0" fontId="4" fillId="0" borderId="5" xfId="0" applyFont="1" applyBorder="1"/>
    <xf numFmtId="0" fontId="0" fillId="0" borderId="13" xfId="0" applyBorder="1" applyAlignment="1">
      <alignment horizontal="center"/>
    </xf>
    <xf numFmtId="2" fontId="0" fillId="0" borderId="13" xfId="0" applyNumberFormat="1" applyBorder="1"/>
    <xf numFmtId="9" fontId="0" fillId="0" borderId="13" xfId="2" applyFont="1" applyBorder="1"/>
    <xf numFmtId="9" fontId="0" fillId="0" borderId="0" xfId="2" applyFont="1" applyBorder="1"/>
    <xf numFmtId="0" fontId="4" fillId="0" borderId="0" xfId="0" applyFont="1" applyBorder="1"/>
    <xf numFmtId="0" fontId="0" fillId="0" borderId="0" xfId="0" applyBorder="1" applyAlignment="1">
      <alignment horizontal="center"/>
    </xf>
    <xf numFmtId="2" fontId="0" fillId="0" borderId="0" xfId="0" applyNumberFormat="1" applyBorder="1"/>
    <xf numFmtId="0" fontId="4" fillId="0" borderId="0" xfId="0" applyFont="1" applyBorder="1" applyAlignment="1">
      <alignment horizontal="center"/>
    </xf>
    <xf numFmtId="0" fontId="0" fillId="0" borderId="0" xfId="0" applyFont="1" applyFill="1" applyBorder="1"/>
    <xf numFmtId="0" fontId="23" fillId="0" borderId="6" xfId="0" applyFont="1" applyBorder="1"/>
    <xf numFmtId="0" fontId="23" fillId="0" borderId="10" xfId="0" applyFont="1" applyBorder="1"/>
    <xf numFmtId="0" fontId="23" fillId="0" borderId="10" xfId="0" applyFont="1" applyBorder="1" applyAlignment="1">
      <alignment horizontal="center"/>
    </xf>
    <xf numFmtId="2" fontId="23" fillId="0" borderId="10" xfId="0" applyNumberFormat="1" applyFont="1" applyBorder="1"/>
    <xf numFmtId="9" fontId="23" fillId="0" borderId="10" xfId="2" applyFont="1" applyBorder="1"/>
    <xf numFmtId="9" fontId="0" fillId="0" borderId="10" xfId="2" applyFont="1" applyBorder="1"/>
    <xf numFmtId="0" fontId="23" fillId="0" borderId="10" xfId="0" applyFont="1" applyFill="1" applyBorder="1"/>
    <xf numFmtId="0" fontId="23" fillId="0" borderId="15" xfId="0" applyFont="1" applyBorder="1"/>
    <xf numFmtId="0" fontId="0" fillId="0" borderId="9" xfId="0" applyBorder="1"/>
    <xf numFmtId="0" fontId="0" fillId="0" borderId="1" xfId="0" applyBorder="1" applyAlignment="1">
      <alignment horizontal="center"/>
    </xf>
    <xf numFmtId="0" fontId="0" fillId="0" borderId="1" xfId="0" applyBorder="1" applyAlignment="1">
      <alignment horizontal="left"/>
    </xf>
    <xf numFmtId="14" fontId="0" fillId="0" borderId="0" xfId="0" quotePrefix="1" applyNumberFormat="1" applyBorder="1" applyAlignment="1">
      <alignment horizontal="center"/>
    </xf>
    <xf numFmtId="14" fontId="0" fillId="0" borderId="14" xfId="0" quotePrefix="1" applyNumberFormat="1" applyBorder="1" applyAlignment="1">
      <alignment horizontal="center"/>
    </xf>
    <xf numFmtId="0" fontId="0" fillId="0" borderId="0" xfId="0" quotePrefix="1" applyBorder="1" applyAlignment="1">
      <alignment horizontal="center"/>
    </xf>
    <xf numFmtId="0" fontId="0" fillId="0" borderId="14" xfId="0" quotePrefix="1" applyBorder="1" applyAlignment="1">
      <alignment horizontal="center"/>
    </xf>
    <xf numFmtId="14" fontId="23" fillId="0" borderId="10" xfId="0" quotePrefix="1" applyNumberFormat="1" applyFont="1" applyBorder="1" applyAlignment="1">
      <alignment horizontal="center"/>
    </xf>
    <xf numFmtId="14" fontId="23" fillId="0" borderId="15" xfId="0" quotePrefix="1" applyNumberFormat="1" applyFont="1" applyBorder="1" applyAlignment="1">
      <alignment horizontal="center"/>
    </xf>
    <xf numFmtId="0" fontId="28" fillId="0" borderId="0" xfId="0" applyFont="1" applyAlignment="1">
      <alignment vertical="center"/>
    </xf>
    <xf numFmtId="0" fontId="29" fillId="0" borderId="19" xfId="0" applyFont="1" applyBorder="1" applyAlignment="1">
      <alignment horizontal="center" vertical="center" wrapText="1"/>
    </xf>
    <xf numFmtId="0" fontId="29" fillId="0" borderId="21" xfId="0" applyFont="1" applyBorder="1" applyAlignment="1">
      <alignment horizontal="center" vertical="center" wrapText="1"/>
    </xf>
    <xf numFmtId="0" fontId="29" fillId="0" borderId="22" xfId="0" applyFont="1" applyBorder="1" applyAlignment="1">
      <alignment vertical="center" wrapText="1"/>
    </xf>
    <xf numFmtId="0" fontId="29" fillId="0" borderId="23" xfId="0" applyFont="1" applyBorder="1" applyAlignment="1">
      <alignment horizontal="center" vertical="center" wrapText="1"/>
    </xf>
    <xf numFmtId="0" fontId="30" fillId="0" borderId="23" xfId="0" applyFont="1" applyBorder="1" applyAlignment="1">
      <alignment horizontal="center" vertical="center" wrapText="1"/>
    </xf>
    <xf numFmtId="0" fontId="9" fillId="0" borderId="23" xfId="0" applyFont="1" applyBorder="1" applyAlignment="1">
      <alignment horizontal="right" vertical="center" wrapText="1"/>
    </xf>
    <xf numFmtId="0" fontId="31" fillId="0" borderId="23" xfId="0" applyFont="1" applyBorder="1" applyAlignment="1">
      <alignment horizontal="right" vertical="center" wrapText="1"/>
    </xf>
    <xf numFmtId="3" fontId="9" fillId="0" borderId="23" xfId="0" applyNumberFormat="1" applyFont="1" applyBorder="1" applyAlignment="1">
      <alignment horizontal="right" vertical="center" wrapText="1"/>
    </xf>
    <xf numFmtId="0" fontId="32" fillId="0" borderId="0" xfId="0" applyFont="1" applyAlignment="1">
      <alignment vertical="center"/>
    </xf>
    <xf numFmtId="0" fontId="28" fillId="0" borderId="0" xfId="0" applyFont="1" applyAlignment="1">
      <alignment horizontal="left" vertical="top"/>
    </xf>
    <xf numFmtId="0" fontId="29" fillId="0" borderId="19" xfId="0" applyFont="1" applyBorder="1" applyAlignment="1">
      <alignment horizontal="center" vertical="center"/>
    </xf>
    <xf numFmtId="0" fontId="29" fillId="0" borderId="21" xfId="0" applyFont="1" applyBorder="1" applyAlignment="1">
      <alignment horizontal="center" vertical="center"/>
    </xf>
    <xf numFmtId="0" fontId="29" fillId="0" borderId="22" xfId="0" applyFont="1" applyBorder="1" applyAlignment="1">
      <alignment vertical="center"/>
    </xf>
    <xf numFmtId="0" fontId="29" fillId="0" borderId="23" xfId="0" applyFont="1" applyBorder="1" applyAlignment="1">
      <alignment horizontal="center" vertical="center"/>
    </xf>
    <xf numFmtId="0" fontId="34" fillId="0" borderId="23" xfId="0" applyFont="1" applyBorder="1" applyAlignment="1">
      <alignment horizontal="right" vertical="center" wrapText="1"/>
    </xf>
    <xf numFmtId="3" fontId="34" fillId="0" borderId="23" xfId="0" applyNumberFormat="1" applyFont="1" applyBorder="1" applyAlignment="1">
      <alignment horizontal="right" vertical="center" wrapText="1"/>
    </xf>
    <xf numFmtId="0" fontId="34" fillId="0" borderId="23" xfId="0" applyFont="1" applyBorder="1" applyAlignment="1">
      <alignment horizontal="right" vertical="center"/>
    </xf>
    <xf numFmtId="0" fontId="30" fillId="0" borderId="22" xfId="0" applyFont="1" applyBorder="1" applyAlignment="1">
      <alignment vertical="center"/>
    </xf>
    <xf numFmtId="0" fontId="35" fillId="0" borderId="23" xfId="0" applyFont="1" applyBorder="1" applyAlignment="1">
      <alignment horizontal="right" vertical="center" wrapText="1"/>
    </xf>
    <xf numFmtId="3" fontId="35" fillId="0" borderId="23" xfId="0" applyNumberFormat="1" applyFont="1" applyBorder="1" applyAlignment="1">
      <alignment horizontal="right" vertical="center" wrapText="1"/>
    </xf>
    <xf numFmtId="0" fontId="30" fillId="0" borderId="23" xfId="0" applyFont="1" applyBorder="1" applyAlignment="1">
      <alignment horizontal="right" vertical="center" wrapText="1"/>
    </xf>
    <xf numFmtId="0" fontId="35" fillId="0" borderId="23" xfId="0" applyFont="1" applyBorder="1" applyAlignment="1">
      <alignment horizontal="right" vertical="center"/>
    </xf>
    <xf numFmtId="0" fontId="36" fillId="8" borderId="1" xfId="0" applyFont="1" applyFill="1" applyBorder="1" applyAlignment="1">
      <alignment horizontal="center" vertical="center"/>
    </xf>
    <xf numFmtId="0" fontId="36" fillId="9" borderId="1" xfId="0" applyFont="1" applyFill="1" applyBorder="1" applyAlignment="1">
      <alignment horizontal="center" vertical="center"/>
    </xf>
    <xf numFmtId="0" fontId="36" fillId="10" borderId="1" xfId="0" applyFont="1" applyFill="1" applyBorder="1" applyAlignment="1">
      <alignment horizontal="center" vertical="center"/>
    </xf>
    <xf numFmtId="0" fontId="36" fillId="11" borderId="1" xfId="0" applyFont="1" applyFill="1" applyBorder="1" applyAlignment="1">
      <alignment horizontal="center" vertical="center"/>
    </xf>
    <xf numFmtId="0" fontId="36" fillId="12" borderId="1" xfId="0" applyFont="1" applyFill="1" applyBorder="1" applyAlignment="1">
      <alignment horizontal="center" vertical="center"/>
    </xf>
    <xf numFmtId="0" fontId="37" fillId="13" borderId="2" xfId="0" applyFont="1" applyFill="1" applyBorder="1" applyAlignment="1">
      <alignment horizontal="center" vertical="center"/>
    </xf>
    <xf numFmtId="0" fontId="38" fillId="14" borderId="2" xfId="0" applyFont="1" applyFill="1" applyBorder="1" applyAlignment="1">
      <alignment horizontal="center" vertical="center"/>
    </xf>
    <xf numFmtId="3" fontId="14" fillId="0" borderId="0" xfId="0" applyNumberFormat="1" applyFont="1"/>
    <xf numFmtId="0" fontId="36" fillId="12" borderId="2" xfId="0" applyFont="1" applyFill="1" applyBorder="1" applyAlignment="1">
      <alignment horizontal="center" vertical="center"/>
    </xf>
    <xf numFmtId="0" fontId="36" fillId="15" borderId="2" xfId="0" applyFont="1" applyFill="1" applyBorder="1" applyAlignment="1">
      <alignment horizontal="center" vertical="center"/>
    </xf>
    <xf numFmtId="0" fontId="36" fillId="14" borderId="2" xfId="0" applyFont="1" applyFill="1" applyBorder="1" applyAlignment="1">
      <alignment horizontal="center" vertical="center"/>
    </xf>
    <xf numFmtId="9" fontId="4" fillId="0" borderId="0" xfId="0" applyNumberFormat="1" applyFont="1"/>
    <xf numFmtId="9" fontId="4" fillId="0" borderId="0" xfId="0" applyNumberFormat="1" applyFont="1" applyAlignment="1">
      <alignment horizontal="right"/>
    </xf>
    <xf numFmtId="9" fontId="23" fillId="0" borderId="0" xfId="0" applyNumberFormat="1" applyFont="1"/>
    <xf numFmtId="4" fontId="23" fillId="0" borderId="0" xfId="0" applyNumberFormat="1" applyFont="1" applyAlignment="1">
      <alignment horizontal="right"/>
    </xf>
    <xf numFmtId="4" fontId="4" fillId="0" borderId="0" xfId="0" applyNumberFormat="1" applyFont="1"/>
    <xf numFmtId="4" fontId="23" fillId="0" borderId="0" xfId="0" applyNumberFormat="1" applyFont="1"/>
    <xf numFmtId="166" fontId="4" fillId="0" borderId="0" xfId="0" applyNumberFormat="1" applyFont="1"/>
    <xf numFmtId="4" fontId="4" fillId="0" borderId="0" xfId="0" applyNumberFormat="1" applyFont="1" applyAlignment="1">
      <alignment horizontal="right"/>
    </xf>
    <xf numFmtId="0" fontId="4" fillId="0" borderId="0" xfId="0" applyFont="1" applyAlignment="1">
      <alignment horizontal="right"/>
    </xf>
    <xf numFmtId="0" fontId="23" fillId="0" borderId="0" xfId="0" applyFont="1" applyAlignment="1">
      <alignment horizontal="right"/>
    </xf>
    <xf numFmtId="0" fontId="4" fillId="0" borderId="0" xfId="0" applyFont="1" applyAlignment="1">
      <alignment horizontal="left"/>
    </xf>
    <xf numFmtId="0" fontId="23" fillId="0" borderId="0" xfId="0" applyFont="1" applyAlignment="1">
      <alignment horizontal="left"/>
    </xf>
    <xf numFmtId="9" fontId="23" fillId="0" borderId="0" xfId="2" applyFont="1" applyAlignment="1">
      <alignment horizontal="right"/>
    </xf>
    <xf numFmtId="0" fontId="23" fillId="0" borderId="0" xfId="0" applyFont="1" applyFill="1" applyAlignment="1">
      <alignment horizontal="right"/>
    </xf>
    <xf numFmtId="0" fontId="23" fillId="0" borderId="0" xfId="0" applyFont="1" applyFill="1"/>
    <xf numFmtId="0" fontId="23" fillId="0" borderId="0" xfId="0" quotePrefix="1" applyFont="1" applyAlignment="1">
      <alignment horizontal="right"/>
    </xf>
    <xf numFmtId="0" fontId="4" fillId="8" borderId="1" xfId="0" applyFont="1" applyFill="1" applyBorder="1" applyAlignment="1">
      <alignment horizontal="center" vertical="center"/>
    </xf>
    <xf numFmtId="0" fontId="36" fillId="8" borderId="1" xfId="0" applyFont="1" applyFill="1" applyBorder="1" applyAlignment="1">
      <alignment horizontal="left" vertical="center"/>
    </xf>
    <xf numFmtId="0" fontId="4" fillId="8" borderId="1" xfId="0" applyFont="1" applyFill="1" applyBorder="1" applyAlignment="1">
      <alignment horizontal="left" vertical="center"/>
    </xf>
    <xf numFmtId="0" fontId="36" fillId="8" borderId="1" xfId="0" applyFont="1" applyFill="1" applyBorder="1" applyAlignment="1">
      <alignment vertical="center"/>
    </xf>
    <xf numFmtId="0" fontId="4" fillId="8" borderId="1" xfId="0" applyFont="1" applyFill="1" applyBorder="1" applyAlignment="1">
      <alignment vertical="center"/>
    </xf>
    <xf numFmtId="2" fontId="4" fillId="0" borderId="0" xfId="0" applyNumberFormat="1" applyFont="1"/>
    <xf numFmtId="2" fontId="4" fillId="0" borderId="0" xfId="0" applyNumberFormat="1" applyFont="1" applyFill="1"/>
    <xf numFmtId="0" fontId="14" fillId="0" borderId="0" xfId="0" applyFont="1" applyAlignment="1">
      <alignment horizontal="left"/>
    </xf>
    <xf numFmtId="0" fontId="4" fillId="9" borderId="1" xfId="0" applyFont="1" applyFill="1" applyBorder="1" applyAlignment="1">
      <alignment horizontal="center" vertical="center"/>
    </xf>
    <xf numFmtId="0" fontId="36" fillId="9" borderId="1" xfId="0" applyFont="1" applyFill="1" applyBorder="1" applyAlignment="1">
      <alignment horizontal="left" vertical="center"/>
    </xf>
    <xf numFmtId="0" fontId="4" fillId="9" borderId="1" xfId="0" applyFont="1" applyFill="1" applyBorder="1" applyAlignment="1">
      <alignment horizontal="left" vertical="center"/>
    </xf>
    <xf numFmtId="0" fontId="36" fillId="9"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horizontal="center" vertical="center"/>
    </xf>
    <xf numFmtId="0" fontId="36" fillId="10" borderId="1" xfId="0" applyFont="1" applyFill="1" applyBorder="1" applyAlignment="1">
      <alignment horizontal="left" vertical="center"/>
    </xf>
    <xf numFmtId="0" fontId="4" fillId="2" borderId="1" xfId="0" applyFont="1" applyFill="1" applyBorder="1" applyAlignment="1">
      <alignment horizontal="left" vertical="center"/>
    </xf>
    <xf numFmtId="167" fontId="4" fillId="0" borderId="0" xfId="0" applyNumberFormat="1" applyFont="1"/>
    <xf numFmtId="167" fontId="4" fillId="0" borderId="0" xfId="0" applyNumberFormat="1" applyFont="1" applyFill="1"/>
    <xf numFmtId="0" fontId="4" fillId="0" borderId="0" xfId="0" applyFont="1" applyFill="1"/>
    <xf numFmtId="49" fontId="4" fillId="0" borderId="0" xfId="0" applyNumberFormat="1" applyFont="1" applyFill="1" applyAlignment="1">
      <alignment horizontal="right"/>
    </xf>
    <xf numFmtId="9" fontId="4" fillId="0" borderId="0" xfId="0" applyNumberFormat="1" applyFont="1" applyFill="1"/>
    <xf numFmtId="1" fontId="4" fillId="0" borderId="0" xfId="0" applyNumberFormat="1" applyFont="1" applyFill="1" applyBorder="1"/>
    <xf numFmtId="1" fontId="4" fillId="0" borderId="0" xfId="0" applyNumberFormat="1" applyFont="1"/>
    <xf numFmtId="3" fontId="4" fillId="0" borderId="0" xfId="0" applyNumberFormat="1" applyFont="1"/>
    <xf numFmtId="0" fontId="4" fillId="11" borderId="1" xfId="0" applyFont="1" applyFill="1" applyBorder="1" applyAlignment="1">
      <alignment horizontal="center" vertical="center"/>
    </xf>
    <xf numFmtId="0" fontId="36" fillId="11" borderId="1" xfId="0" applyFont="1" applyFill="1" applyBorder="1" applyAlignment="1">
      <alignment horizontal="left" vertical="center"/>
    </xf>
    <xf numFmtId="0" fontId="4" fillId="11" borderId="1" xfId="0" applyFont="1" applyFill="1" applyBorder="1" applyAlignment="1">
      <alignment horizontal="left" vertical="center"/>
    </xf>
    <xf numFmtId="168" fontId="4" fillId="0" borderId="0" xfId="0" applyNumberFormat="1" applyFont="1" applyAlignment="1">
      <alignment horizontal="right"/>
    </xf>
    <xf numFmtId="168" fontId="4" fillId="0" borderId="0" xfId="0" applyNumberFormat="1" applyFont="1"/>
    <xf numFmtId="0" fontId="4" fillId="12" borderId="1" xfId="0" applyFont="1" applyFill="1" applyBorder="1" applyAlignment="1">
      <alignment horizontal="center" vertical="center"/>
    </xf>
    <xf numFmtId="0" fontId="36" fillId="12" borderId="2" xfId="0" applyFont="1" applyFill="1" applyBorder="1" applyAlignment="1">
      <alignment horizontal="left" vertical="center"/>
    </xf>
    <xf numFmtId="0" fontId="4" fillId="12" borderId="1" xfId="0" applyFont="1" applyFill="1" applyBorder="1" applyAlignment="1">
      <alignment horizontal="left" vertical="center"/>
    </xf>
    <xf numFmtId="0" fontId="36" fillId="12" borderId="1" xfId="0" applyFont="1" applyFill="1" applyBorder="1" applyAlignment="1">
      <alignment horizontal="left" vertical="center"/>
    </xf>
    <xf numFmtId="0" fontId="4" fillId="15" borderId="1" xfId="0" applyFont="1" applyFill="1" applyBorder="1" applyAlignment="1">
      <alignment horizontal="center" vertical="center"/>
    </xf>
    <xf numFmtId="0" fontId="36" fillId="15" borderId="2" xfId="0" applyFont="1" applyFill="1" applyBorder="1" applyAlignment="1">
      <alignment horizontal="left" vertical="center"/>
    </xf>
    <xf numFmtId="0" fontId="4" fillId="15" borderId="1" xfId="0" applyFont="1" applyFill="1" applyBorder="1" applyAlignment="1">
      <alignment horizontal="left" vertical="center"/>
    </xf>
    <xf numFmtId="0" fontId="4" fillId="14" borderId="1" xfId="0" applyFont="1" applyFill="1" applyBorder="1" applyAlignment="1">
      <alignment horizontal="center" vertical="center"/>
    </xf>
    <xf numFmtId="0" fontId="36" fillId="14" borderId="2" xfId="0" applyFont="1" applyFill="1" applyBorder="1" applyAlignment="1">
      <alignment horizontal="left" vertical="center"/>
    </xf>
    <xf numFmtId="0" fontId="4" fillId="14" borderId="1" xfId="0" applyFont="1" applyFill="1" applyBorder="1" applyAlignment="1">
      <alignment horizontal="left" vertical="center"/>
    </xf>
    <xf numFmtId="0" fontId="4" fillId="3" borderId="9" xfId="0" applyFont="1" applyFill="1" applyBorder="1"/>
    <xf numFmtId="0" fontId="0" fillId="3" borderId="14" xfId="0" applyFill="1" applyBorder="1"/>
    <xf numFmtId="0" fontId="42" fillId="0" borderId="0" xfId="3" quotePrefix="1"/>
    <xf numFmtId="0" fontId="0" fillId="0" borderId="1" xfId="0" quotePrefix="1" applyBorder="1"/>
    <xf numFmtId="14" fontId="0" fillId="3" borderId="14" xfId="0" quotePrefix="1" applyNumberFormat="1" applyFill="1" applyBorder="1" applyAlignment="1">
      <alignment horizontal="center"/>
    </xf>
    <xf numFmtId="14" fontId="0" fillId="3" borderId="0" xfId="0" quotePrefix="1" applyNumberFormat="1" applyFill="1" applyBorder="1" applyAlignment="1">
      <alignment horizontal="center"/>
    </xf>
    <xf numFmtId="0" fontId="14" fillId="0" borderId="0" xfId="0" applyFont="1" applyFill="1" applyBorder="1"/>
    <xf numFmtId="0" fontId="2" fillId="0" borderId="0" xfId="0" applyFont="1"/>
    <xf numFmtId="166" fontId="23" fillId="0" borderId="0" xfId="0" applyNumberFormat="1" applyFont="1" applyAlignment="1">
      <alignment horizontal="right"/>
    </xf>
    <xf numFmtId="166" fontId="23" fillId="0" borderId="0" xfId="0" applyNumberFormat="1" applyFont="1"/>
    <xf numFmtId="1" fontId="4" fillId="0" borderId="0" xfId="0" applyNumberFormat="1" applyFont="1" applyFill="1" applyAlignment="1">
      <alignment horizontal="right"/>
    </xf>
    <xf numFmtId="0" fontId="23" fillId="0" borderId="0" xfId="0" applyFont="1" applyFill="1" applyAlignment="1">
      <alignment horizontal="left"/>
    </xf>
    <xf numFmtId="0" fontId="43" fillId="0" borderId="0" xfId="0" applyFont="1"/>
    <xf numFmtId="0" fontId="44" fillId="0" borderId="0" xfId="0" applyFont="1"/>
    <xf numFmtId="0" fontId="43" fillId="0" borderId="1" xfId="0" applyFont="1" applyBorder="1"/>
    <xf numFmtId="0" fontId="43" fillId="0" borderId="0" xfId="0" applyFont="1" applyFill="1"/>
    <xf numFmtId="0" fontId="43" fillId="0" borderId="0" xfId="0" applyFont="1" applyFill="1" applyBorder="1"/>
    <xf numFmtId="3" fontId="43" fillId="0" borderId="0" xfId="0" applyNumberFormat="1" applyFont="1"/>
    <xf numFmtId="9" fontId="43" fillId="0" borderId="0" xfId="0" applyNumberFormat="1" applyFont="1"/>
    <xf numFmtId="9" fontId="43" fillId="0" borderId="0" xfId="0" applyNumberFormat="1" applyFont="1" applyAlignment="1">
      <alignment horizontal="right"/>
    </xf>
    <xf numFmtId="4" fontId="43" fillId="0" borderId="0" xfId="0" applyNumberFormat="1" applyFont="1"/>
    <xf numFmtId="4" fontId="4" fillId="0" borderId="0" xfId="0" applyNumberFormat="1" applyFont="1" applyFill="1"/>
    <xf numFmtId="4" fontId="23" fillId="0" borderId="0" xfId="0" applyNumberFormat="1" applyFont="1" applyFill="1"/>
    <xf numFmtId="4" fontId="23" fillId="0" borderId="0" xfId="0" applyNumberFormat="1" applyFont="1" applyFill="1" applyAlignment="1">
      <alignment horizontal="right"/>
    </xf>
    <xf numFmtId="4" fontId="43" fillId="0" borderId="0" xfId="0" applyNumberFormat="1" applyFont="1" applyFill="1"/>
    <xf numFmtId="166" fontId="43" fillId="0" borderId="0" xfId="0" applyNumberFormat="1" applyFont="1"/>
    <xf numFmtId="166" fontId="23" fillId="0" borderId="0" xfId="0" applyNumberFormat="1" applyFont="1" applyFill="1"/>
    <xf numFmtId="0" fontId="43" fillId="0" borderId="0" xfId="0" applyFont="1" applyAlignment="1">
      <alignment horizontal="right"/>
    </xf>
    <xf numFmtId="0" fontId="43" fillId="0" borderId="0" xfId="0" applyFont="1" applyFill="1" applyAlignment="1">
      <alignment horizontal="right"/>
    </xf>
    <xf numFmtId="3" fontId="23" fillId="0" borderId="0" xfId="0" applyNumberFormat="1" applyFont="1"/>
    <xf numFmtId="0" fontId="4" fillId="0" borderId="0" xfId="0" applyFont="1" applyFill="1" applyAlignment="1">
      <alignment horizontal="right"/>
    </xf>
    <xf numFmtId="9" fontId="43" fillId="0" borderId="0" xfId="0" applyNumberFormat="1" applyFont="1" applyFill="1" applyAlignment="1">
      <alignment horizontal="right"/>
    </xf>
    <xf numFmtId="9" fontId="23" fillId="0" borderId="0" xfId="0" applyNumberFormat="1" applyFont="1" applyFill="1"/>
    <xf numFmtId="1" fontId="23" fillId="0" borderId="0" xfId="0" applyNumberFormat="1" applyFont="1" applyFill="1" applyAlignment="1">
      <alignment horizontal="right"/>
    </xf>
    <xf numFmtId="3" fontId="23" fillId="0" borderId="0" xfId="0" applyNumberFormat="1" applyFont="1" applyFill="1"/>
    <xf numFmtId="2" fontId="43" fillId="0" borderId="0" xfId="0" applyNumberFormat="1" applyFont="1"/>
    <xf numFmtId="0" fontId="46" fillId="0" borderId="0" xfId="0" applyFont="1"/>
    <xf numFmtId="0" fontId="2" fillId="0" borderId="0" xfId="0" quotePrefix="1" applyFont="1"/>
    <xf numFmtId="0" fontId="14" fillId="0" borderId="0" xfId="0" applyFont="1" applyFill="1"/>
    <xf numFmtId="3" fontId="14" fillId="0" borderId="16" xfId="0" applyNumberFormat="1" applyFont="1" applyBorder="1"/>
    <xf numFmtId="2" fontId="14" fillId="0" borderId="0" xfId="0" applyNumberFormat="1" applyFont="1" applyBorder="1"/>
    <xf numFmtId="3" fontId="4" fillId="0" borderId="16" xfId="0" applyNumberFormat="1" applyFont="1" applyBorder="1"/>
    <xf numFmtId="166" fontId="4" fillId="0" borderId="0" xfId="0" applyNumberFormat="1" applyFont="1" applyBorder="1"/>
    <xf numFmtId="166" fontId="14" fillId="0" borderId="0" xfId="0" applyNumberFormat="1" applyFont="1" applyBorder="1"/>
    <xf numFmtId="4" fontId="4" fillId="0" borderId="11" xfId="0" applyNumberFormat="1" applyFont="1" applyBorder="1"/>
    <xf numFmtId="4" fontId="4" fillId="0" borderId="13" xfId="0" applyNumberFormat="1" applyFont="1" applyBorder="1"/>
    <xf numFmtId="4" fontId="4" fillId="0" borderId="16" xfId="0" applyNumberFormat="1" applyFont="1" applyBorder="1"/>
    <xf numFmtId="3" fontId="14" fillId="0" borderId="16" xfId="0" applyNumberFormat="1" applyFont="1" applyFill="1" applyBorder="1"/>
    <xf numFmtId="166" fontId="14" fillId="0" borderId="0" xfId="0" applyNumberFormat="1" applyFont="1" applyFill="1" applyBorder="1"/>
    <xf numFmtId="4" fontId="4" fillId="0" borderId="17" xfId="0" applyNumberFormat="1" applyFont="1" applyBorder="1"/>
    <xf numFmtId="0" fontId="36" fillId="16" borderId="1" xfId="0" applyFont="1" applyFill="1" applyBorder="1" applyAlignment="1">
      <alignment horizontal="left" vertical="center"/>
    </xf>
    <xf numFmtId="0" fontId="4" fillId="16" borderId="1" xfId="0" applyFont="1" applyFill="1" applyBorder="1" applyAlignment="1">
      <alignment horizontal="left" vertical="center"/>
    </xf>
    <xf numFmtId="2" fontId="23" fillId="0" borderId="0" xfId="0" applyNumberFormat="1" applyFont="1" applyFill="1"/>
    <xf numFmtId="0" fontId="23" fillId="0" borderId="0" xfId="0" quotePrefix="1" applyFont="1" applyFill="1" applyAlignment="1">
      <alignment horizontal="right"/>
    </xf>
    <xf numFmtId="0" fontId="43" fillId="0" borderId="16" xfId="0" applyFont="1" applyBorder="1"/>
    <xf numFmtId="0" fontId="43" fillId="0" borderId="13" xfId="0" applyFont="1" applyFill="1" applyBorder="1"/>
    <xf numFmtId="0" fontId="43" fillId="0" borderId="10" xfId="0" applyFont="1" applyFill="1" applyBorder="1"/>
    <xf numFmtId="2" fontId="43" fillId="0" borderId="0" xfId="0" applyNumberFormat="1" applyFont="1" applyFill="1"/>
    <xf numFmtId="2" fontId="43" fillId="0" borderId="0" xfId="0" applyNumberFormat="1" applyFont="1" applyFill="1" applyBorder="1"/>
    <xf numFmtId="167" fontId="4" fillId="0" borderId="0" xfId="0" applyNumberFormat="1" applyFont="1" applyFill="1" applyAlignment="1">
      <alignment horizontal="left"/>
    </xf>
    <xf numFmtId="9" fontId="43" fillId="0" borderId="0" xfId="0" applyNumberFormat="1" applyFont="1" applyFill="1"/>
    <xf numFmtId="167" fontId="4" fillId="0" borderId="0" xfId="0" applyNumberFormat="1" applyFont="1" applyFill="1" applyAlignment="1">
      <alignment horizontal="right"/>
    </xf>
    <xf numFmtId="1" fontId="23" fillId="0" borderId="0" xfId="0" applyNumberFormat="1" applyFont="1" applyFill="1"/>
    <xf numFmtId="1" fontId="43" fillId="0" borderId="0" xfId="0" applyNumberFormat="1" applyFont="1" applyFill="1" applyBorder="1"/>
    <xf numFmtId="1" fontId="43" fillId="0" borderId="0" xfId="0" applyNumberFormat="1" applyFont="1" applyFill="1"/>
    <xf numFmtId="0" fontId="47" fillId="0" borderId="0" xfId="0" applyFont="1" applyAlignment="1">
      <alignment vertical="center"/>
    </xf>
    <xf numFmtId="0" fontId="0" fillId="0" borderId="1" xfId="0" applyFill="1" applyBorder="1" applyAlignment="1">
      <alignment horizontal="center"/>
    </xf>
    <xf numFmtId="0" fontId="0" fillId="0" borderId="11" xfId="0" applyBorder="1" applyAlignment="1">
      <alignment horizontal="center"/>
    </xf>
    <xf numFmtId="0" fontId="0" fillId="0" borderId="17" xfId="0" quotePrefix="1" applyBorder="1" applyAlignment="1">
      <alignment horizontal="center"/>
    </xf>
    <xf numFmtId="0" fontId="0" fillId="0" borderId="16" xfId="0" applyBorder="1" applyAlignment="1">
      <alignment horizontal="center"/>
    </xf>
    <xf numFmtId="0" fontId="0" fillId="0" borderId="14" xfId="0" applyBorder="1" applyAlignment="1">
      <alignment horizontal="center"/>
    </xf>
    <xf numFmtId="0" fontId="0" fillId="3" borderId="16" xfId="0" applyFill="1" applyBorder="1" applyAlignment="1">
      <alignment horizontal="center"/>
    </xf>
    <xf numFmtId="0" fontId="0" fillId="3" borderId="0" xfId="0" applyFill="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2" fillId="0" borderId="15" xfId="0" applyFont="1" applyBorder="1" applyAlignment="1">
      <alignment horizontal="center"/>
    </xf>
    <xf numFmtId="0" fontId="1" fillId="0" borderId="0" xfId="0" quotePrefix="1" applyFont="1"/>
    <xf numFmtId="0" fontId="44" fillId="0" borderId="0" xfId="0" applyFont="1" applyAlignment="1">
      <alignment horizontal="center" vertical="center" textRotation="180"/>
    </xf>
    <xf numFmtId="3" fontId="14" fillId="0" borderId="0" xfId="0" applyNumberFormat="1" applyFont="1" applyBorder="1"/>
    <xf numFmtId="3" fontId="14" fillId="0" borderId="0" xfId="0" applyNumberFormat="1" applyFont="1" applyFill="1" applyBorder="1"/>
    <xf numFmtId="0" fontId="14" fillId="0" borderId="11" xfId="0" applyFont="1" applyBorder="1" applyAlignment="1">
      <alignment horizontal="left"/>
    </xf>
    <xf numFmtId="2" fontId="43" fillId="0" borderId="0" xfId="0" applyNumberFormat="1" applyFont="1" applyBorder="1"/>
    <xf numFmtId="0" fontId="43" fillId="0" borderId="0" xfId="0" applyFont="1" applyBorder="1"/>
    <xf numFmtId="0" fontId="43" fillId="0" borderId="16" xfId="0" applyFont="1" applyFill="1" applyBorder="1"/>
    <xf numFmtId="166" fontId="4" fillId="0" borderId="14" xfId="0" applyNumberFormat="1" applyFont="1" applyBorder="1"/>
    <xf numFmtId="0" fontId="14" fillId="0" borderId="12" xfId="0" applyFont="1" applyFill="1" applyBorder="1"/>
    <xf numFmtId="3" fontId="14" fillId="0" borderId="12" xfId="0" applyNumberFormat="1" applyFont="1" applyBorder="1"/>
    <xf numFmtId="166" fontId="14" fillId="0" borderId="10" xfId="0" applyNumberFormat="1" applyFont="1" applyBorder="1"/>
    <xf numFmtId="3" fontId="14" fillId="0" borderId="12" xfId="0" applyNumberFormat="1" applyFont="1" applyFill="1" applyBorder="1"/>
    <xf numFmtId="166" fontId="14" fillId="0" borderId="10" xfId="0" applyNumberFormat="1" applyFont="1" applyFill="1" applyBorder="1"/>
    <xf numFmtId="166" fontId="14" fillId="0" borderId="15" xfId="0" applyNumberFormat="1" applyFont="1" applyBorder="1"/>
    <xf numFmtId="2" fontId="44" fillId="0" borderId="13" xfId="0" applyNumberFormat="1" applyFont="1" applyBorder="1" applyAlignment="1">
      <alignment horizontal="center"/>
    </xf>
    <xf numFmtId="3" fontId="14" fillId="0" borderId="16" xfId="0" applyNumberFormat="1" applyFont="1" applyBorder="1" applyAlignment="1">
      <alignment horizontal="right"/>
    </xf>
    <xf numFmtId="2" fontId="14" fillId="0" borderId="0" xfId="0" applyNumberFormat="1" applyFont="1" applyBorder="1" applyAlignment="1">
      <alignment horizontal="right"/>
    </xf>
    <xf numFmtId="0" fontId="14" fillId="0" borderId="0" xfId="0" applyFont="1" applyFill="1" applyAlignment="1">
      <alignment horizontal="left"/>
    </xf>
    <xf numFmtId="0" fontId="14" fillId="0" borderId="10" xfId="0" applyFont="1" applyFill="1" applyBorder="1"/>
    <xf numFmtId="3" fontId="4" fillId="0" borderId="0" xfId="0" applyNumberFormat="1" applyFont="1" applyBorder="1"/>
    <xf numFmtId="3" fontId="14" fillId="0" borderId="10" xfId="0" applyNumberFormat="1" applyFont="1" applyBorder="1"/>
    <xf numFmtId="166" fontId="14" fillId="0" borderId="15" xfId="0" applyNumberFormat="1" applyFont="1" applyFill="1" applyBorder="1"/>
    <xf numFmtId="0" fontId="14" fillId="0" borderId="11" xfId="0" applyFont="1" applyFill="1" applyBorder="1" applyAlignment="1">
      <alignment horizontal="left"/>
    </xf>
    <xf numFmtId="3" fontId="14" fillId="0" borderId="11" xfId="0" applyNumberFormat="1" applyFont="1" applyBorder="1" applyAlignment="1">
      <alignment horizontal="right"/>
    </xf>
    <xf numFmtId="2" fontId="14" fillId="0" borderId="13" xfId="0" applyNumberFormat="1" applyFont="1" applyBorder="1" applyAlignment="1">
      <alignment horizontal="right"/>
    </xf>
    <xf numFmtId="2" fontId="14" fillId="0" borderId="17" xfId="0" applyNumberFormat="1" applyFont="1" applyBorder="1" applyAlignment="1">
      <alignment horizontal="right"/>
    </xf>
    <xf numFmtId="3" fontId="14" fillId="0" borderId="13" xfId="0" applyNumberFormat="1" applyFont="1" applyBorder="1" applyAlignment="1">
      <alignment horizontal="right"/>
    </xf>
    <xf numFmtId="3" fontId="4" fillId="0" borderId="14" xfId="0" applyNumberFormat="1" applyFont="1" applyBorder="1"/>
    <xf numFmtId="3" fontId="14" fillId="0" borderId="15" xfId="0" applyNumberFormat="1" applyFont="1" applyBorder="1"/>
    <xf numFmtId="0" fontId="50" fillId="0" borderId="0" xfId="0" applyFont="1"/>
    <xf numFmtId="0" fontId="50" fillId="0" borderId="0" xfId="0" applyFont="1" applyFill="1"/>
    <xf numFmtId="0" fontId="50" fillId="0" borderId="0" xfId="0" applyFont="1" applyAlignment="1">
      <alignment horizontal="left"/>
    </xf>
    <xf numFmtId="166" fontId="4" fillId="0" borderId="16" xfId="0" applyNumberFormat="1" applyFont="1" applyBorder="1"/>
    <xf numFmtId="166" fontId="4" fillId="0" borderId="15" xfId="0" applyNumberFormat="1" applyFont="1" applyBorder="1"/>
    <xf numFmtId="166" fontId="4" fillId="0" borderId="12" xfId="0" applyNumberFormat="1" applyFont="1" applyBorder="1"/>
    <xf numFmtId="166" fontId="4" fillId="0" borderId="10" xfId="0" applyNumberFormat="1" applyFont="1" applyBorder="1"/>
    <xf numFmtId="9" fontId="4" fillId="0" borderId="0" xfId="2" applyFont="1" applyFill="1" applyBorder="1"/>
    <xf numFmtId="0" fontId="50" fillId="0" borderId="16" xfId="0" applyFont="1" applyBorder="1" applyAlignment="1">
      <alignment horizontal="left"/>
    </xf>
    <xf numFmtId="3" fontId="44" fillId="0" borderId="11" xfId="0" applyNumberFormat="1" applyFont="1" applyBorder="1" applyAlignment="1">
      <alignment horizontal="center"/>
    </xf>
    <xf numFmtId="4" fontId="43" fillId="0" borderId="16" xfId="0" applyNumberFormat="1" applyFont="1" applyBorder="1"/>
    <xf numFmtId="0" fontId="44" fillId="0" borderId="0" xfId="0" applyFont="1" applyAlignment="1">
      <alignment horizontal="right" vertical="top"/>
    </xf>
    <xf numFmtId="0" fontId="44" fillId="0" borderId="10" xfId="0" applyFont="1" applyBorder="1" applyAlignment="1">
      <alignment horizontal="left" vertical="top"/>
    </xf>
    <xf numFmtId="3" fontId="14" fillId="0" borderId="12" xfId="0" applyNumberFormat="1" applyFont="1" applyBorder="1" applyAlignment="1">
      <alignment horizontal="right" vertical="top"/>
    </xf>
    <xf numFmtId="2" fontId="14" fillId="0" borderId="10" xfId="0" applyNumberFormat="1" applyFont="1" applyBorder="1" applyAlignment="1">
      <alignment horizontal="right" vertical="top"/>
    </xf>
    <xf numFmtId="0" fontId="43" fillId="0" borderId="0" xfId="0" applyFont="1" applyAlignment="1">
      <alignment horizontal="right" vertical="top"/>
    </xf>
    <xf numFmtId="4" fontId="43" fillId="0" borderId="12" xfId="0" applyNumberFormat="1" applyFont="1" applyBorder="1"/>
    <xf numFmtId="2" fontId="43" fillId="0" borderId="14" xfId="0" applyNumberFormat="1" applyFont="1" applyBorder="1"/>
    <xf numFmtId="2" fontId="43" fillId="0" borderId="15" xfId="0" applyNumberFormat="1" applyFont="1" applyBorder="1"/>
    <xf numFmtId="2" fontId="44" fillId="0" borderId="17" xfId="0" applyNumberFormat="1" applyFont="1" applyBorder="1" applyAlignment="1">
      <alignment horizontal="center"/>
    </xf>
    <xf numFmtId="0" fontId="43" fillId="0" borderId="12" xfId="0" applyFont="1" applyBorder="1"/>
    <xf numFmtId="0" fontId="4" fillId="0" borderId="16" xfId="0" applyFont="1" applyBorder="1"/>
    <xf numFmtId="166" fontId="43" fillId="0" borderId="16" xfId="0" applyNumberFormat="1" applyFont="1" applyBorder="1"/>
    <xf numFmtId="166" fontId="43" fillId="0" borderId="0" xfId="0" applyNumberFormat="1" applyFont="1" applyBorder="1"/>
    <xf numFmtId="166" fontId="43" fillId="0" borderId="12" xfId="0" applyNumberFormat="1" applyFont="1" applyBorder="1"/>
    <xf numFmtId="166" fontId="43" fillId="0" borderId="15" xfId="0" applyNumberFormat="1" applyFont="1" applyBorder="1"/>
    <xf numFmtId="0" fontId="4" fillId="3" borderId="5" xfId="0" applyFont="1" applyFill="1" applyBorder="1"/>
    <xf numFmtId="0" fontId="0" fillId="3" borderId="13" xfId="0" applyFill="1" applyBorder="1"/>
    <xf numFmtId="0" fontId="0" fillId="3" borderId="0" xfId="0" applyFill="1" applyBorder="1"/>
    <xf numFmtId="0" fontId="0" fillId="0" borderId="16" xfId="0" applyBorder="1"/>
    <xf numFmtId="0" fontId="0" fillId="0" borderId="12" xfId="0" applyBorder="1"/>
    <xf numFmtId="0" fontId="0" fillId="3" borderId="17" xfId="0" applyFill="1" applyBorder="1"/>
    <xf numFmtId="0" fontId="0" fillId="3" borderId="11" xfId="0" applyFill="1" applyBorder="1"/>
    <xf numFmtId="0" fontId="0" fillId="3" borderId="16" xfId="0" applyFill="1" applyBorder="1"/>
    <xf numFmtId="0" fontId="0" fillId="0" borderId="3" xfId="0" applyBorder="1"/>
    <xf numFmtId="0" fontId="0" fillId="0" borderId="4" xfId="0" applyBorder="1"/>
    <xf numFmtId="0" fontId="0" fillId="0" borderId="2" xfId="0" applyBorder="1"/>
    <xf numFmtId="0" fontId="0" fillId="0" borderId="11" xfId="0" applyFill="1" applyBorder="1"/>
    <xf numFmtId="0" fontId="0" fillId="0" borderId="13" xfId="0" applyFill="1" applyBorder="1"/>
    <xf numFmtId="0" fontId="0" fillId="0" borderId="17" xfId="0" applyFill="1" applyBorder="1"/>
    <xf numFmtId="0" fontId="0" fillId="0" borderId="16" xfId="0" applyFill="1" applyBorder="1"/>
    <xf numFmtId="0" fontId="0" fillId="0" borderId="14" xfId="0" applyFill="1" applyBorder="1"/>
    <xf numFmtId="0" fontId="51" fillId="0" borderId="0" xfId="0" applyFont="1"/>
    <xf numFmtId="0" fontId="3" fillId="0" borderId="0" xfId="0" quotePrefix="1" applyFont="1"/>
    <xf numFmtId="0" fontId="4" fillId="0" borderId="5" xfId="0" applyFont="1" applyFill="1" applyBorder="1"/>
    <xf numFmtId="0" fontId="4" fillId="0" borderId="9" xfId="0" applyFont="1" applyFill="1" applyBorder="1"/>
    <xf numFmtId="2" fontId="4" fillId="0" borderId="0" xfId="0" applyNumberFormat="1" applyFont="1" applyAlignment="1">
      <alignment horizontal="right"/>
    </xf>
    <xf numFmtId="2" fontId="4" fillId="0" borderId="0" xfId="0" applyNumberFormat="1" applyFont="1" applyFill="1" applyAlignment="1">
      <alignment horizontal="right"/>
    </xf>
    <xf numFmtId="0" fontId="3" fillId="0" borderId="11" xfId="0" applyFont="1" applyBorder="1"/>
    <xf numFmtId="0" fontId="3" fillId="0" borderId="16" xfId="0" applyFont="1" applyBorder="1"/>
    <xf numFmtId="0" fontId="3" fillId="0" borderId="12" xfId="0" applyFont="1" applyBorder="1"/>
    <xf numFmtId="16" fontId="23" fillId="0" borderId="0" xfId="0" quotePrefix="1" applyNumberFormat="1" applyFont="1" applyFill="1" applyAlignment="1">
      <alignment horizontal="right"/>
    </xf>
    <xf numFmtId="49" fontId="4" fillId="0" borderId="0" xfId="0" quotePrefix="1" applyNumberFormat="1" applyFont="1" applyFill="1" applyAlignment="1">
      <alignment horizontal="right"/>
    </xf>
    <xf numFmtId="2" fontId="43" fillId="0" borderId="0" xfId="0" applyNumberFormat="1" applyFont="1" applyFill="1" applyAlignment="1">
      <alignment horizontal="right"/>
    </xf>
    <xf numFmtId="166" fontId="43" fillId="0" borderId="16" xfId="0" applyNumberFormat="1" applyFont="1" applyBorder="1" applyAlignment="1">
      <alignment horizontal="right"/>
    </xf>
    <xf numFmtId="166" fontId="43" fillId="0" borderId="0" xfId="0" applyNumberFormat="1" applyFont="1" applyBorder="1" applyAlignment="1">
      <alignment horizontal="right"/>
    </xf>
    <xf numFmtId="166" fontId="43" fillId="0" borderId="14" xfId="0" applyNumberFormat="1" applyFont="1" applyBorder="1" applyAlignment="1">
      <alignment horizontal="right"/>
    </xf>
    <xf numFmtId="0" fontId="14" fillId="0" borderId="5" xfId="0" applyFont="1" applyFill="1" applyBorder="1" applyAlignment="1">
      <alignment horizontal="left"/>
    </xf>
    <xf numFmtId="3" fontId="14" fillId="3" borderId="11" xfId="0" applyNumberFormat="1" applyFont="1" applyFill="1" applyBorder="1" applyAlignment="1">
      <alignment horizontal="right"/>
    </xf>
    <xf numFmtId="2" fontId="14" fillId="3" borderId="17" xfId="0" applyNumberFormat="1" applyFont="1" applyFill="1" applyBorder="1" applyAlignment="1">
      <alignment horizontal="right"/>
    </xf>
    <xf numFmtId="3" fontId="4" fillId="3" borderId="16" xfId="0" applyNumberFormat="1" applyFont="1" applyFill="1" applyBorder="1"/>
    <xf numFmtId="3" fontId="4" fillId="3" borderId="14" xfId="0" applyNumberFormat="1" applyFont="1" applyFill="1" applyBorder="1"/>
    <xf numFmtId="3" fontId="14" fillId="3" borderId="12" xfId="0" applyNumberFormat="1" applyFont="1" applyFill="1" applyBorder="1"/>
    <xf numFmtId="3" fontId="14" fillId="3" borderId="15" xfId="0" applyNumberFormat="1" applyFont="1" applyFill="1" applyBorder="1"/>
    <xf numFmtId="0" fontId="14" fillId="0" borderId="13" xfId="0" applyFont="1" applyBorder="1" applyAlignment="1">
      <alignment horizontal="left"/>
    </xf>
    <xf numFmtId="0" fontId="14" fillId="0" borderId="13" xfId="0" applyFont="1" applyFill="1" applyBorder="1" applyAlignment="1">
      <alignment horizontal="left"/>
    </xf>
    <xf numFmtId="0" fontId="14" fillId="3" borderId="17" xfId="0" applyFont="1" applyFill="1" applyBorder="1" applyAlignment="1">
      <alignment horizontal="left"/>
    </xf>
    <xf numFmtId="0" fontId="43" fillId="3" borderId="0" xfId="0" applyFont="1" applyFill="1" applyBorder="1"/>
    <xf numFmtId="0" fontId="14" fillId="3" borderId="10" xfId="0" applyFont="1" applyFill="1" applyBorder="1"/>
    <xf numFmtId="0" fontId="14" fillId="0" borderId="17" xfId="0" applyFont="1" applyFill="1" applyBorder="1" applyAlignment="1">
      <alignment horizontal="left"/>
    </xf>
    <xf numFmtId="3" fontId="43" fillId="0" borderId="16" xfId="0" applyNumberFormat="1" applyFont="1" applyBorder="1"/>
    <xf numFmtId="4" fontId="4" fillId="0" borderId="0" xfId="0" applyNumberFormat="1" applyFont="1" applyBorder="1"/>
    <xf numFmtId="4" fontId="43" fillId="0" borderId="0" xfId="0" applyNumberFormat="1" applyFont="1" applyBorder="1"/>
    <xf numFmtId="3" fontId="44" fillId="3" borderId="11" xfId="0" applyNumberFormat="1" applyFont="1" applyFill="1" applyBorder="1" applyAlignment="1">
      <alignment horizontal="center"/>
    </xf>
    <xf numFmtId="2" fontId="44" fillId="3" borderId="13" xfId="0" applyNumberFormat="1" applyFont="1" applyFill="1" applyBorder="1" applyAlignment="1">
      <alignment horizontal="center"/>
    </xf>
    <xf numFmtId="166" fontId="43" fillId="3" borderId="16" xfId="0" applyNumberFormat="1" applyFont="1" applyFill="1" applyBorder="1" applyAlignment="1">
      <alignment horizontal="right"/>
    </xf>
    <xf numFmtId="166" fontId="43" fillId="3" borderId="0" xfId="0" applyNumberFormat="1" applyFont="1" applyFill="1" applyBorder="1" applyAlignment="1">
      <alignment horizontal="right"/>
    </xf>
    <xf numFmtId="4" fontId="43" fillId="3" borderId="16" xfId="0" applyNumberFormat="1" applyFont="1" applyFill="1" applyBorder="1"/>
    <xf numFmtId="2" fontId="43" fillId="3" borderId="0" xfId="0" applyNumberFormat="1" applyFont="1" applyFill="1" applyBorder="1"/>
    <xf numFmtId="2" fontId="14" fillId="3" borderId="13" xfId="0" applyNumberFormat="1" applyFont="1" applyFill="1" applyBorder="1" applyAlignment="1">
      <alignment horizontal="right"/>
    </xf>
    <xf numFmtId="166" fontId="4" fillId="3" borderId="0" xfId="0" applyNumberFormat="1" applyFont="1" applyFill="1" applyBorder="1"/>
    <xf numFmtId="166" fontId="4" fillId="3" borderId="14" xfId="0" applyNumberFormat="1" applyFont="1" applyFill="1" applyBorder="1"/>
    <xf numFmtId="4" fontId="4" fillId="3" borderId="16" xfId="0" applyNumberFormat="1" applyFont="1" applyFill="1" applyBorder="1"/>
    <xf numFmtId="166" fontId="14" fillId="3" borderId="10" xfId="0" applyNumberFormat="1" applyFont="1" applyFill="1" applyBorder="1"/>
    <xf numFmtId="166" fontId="14" fillId="3" borderId="15" xfId="0" applyNumberFormat="1" applyFont="1" applyFill="1" applyBorder="1"/>
    <xf numFmtId="3" fontId="14" fillId="3" borderId="13" xfId="0" applyNumberFormat="1" applyFont="1" applyFill="1" applyBorder="1" applyAlignment="1">
      <alignment horizontal="right"/>
    </xf>
    <xf numFmtId="4" fontId="4" fillId="3" borderId="0" xfId="0" applyNumberFormat="1" applyFont="1" applyFill="1" applyBorder="1"/>
    <xf numFmtId="3" fontId="44" fillId="0" borderId="13" xfId="0" applyNumberFormat="1" applyFont="1" applyBorder="1" applyAlignment="1">
      <alignment horizontal="center"/>
    </xf>
    <xf numFmtId="0" fontId="43" fillId="0" borderId="15" xfId="0" applyFont="1" applyBorder="1"/>
    <xf numFmtId="3" fontId="4" fillId="3" borderId="0" xfId="0" applyNumberFormat="1" applyFont="1" applyFill="1" applyBorder="1"/>
    <xf numFmtId="3" fontId="14" fillId="3" borderId="10" xfId="0" applyNumberFormat="1" applyFont="1" applyFill="1" applyBorder="1"/>
    <xf numFmtId="0" fontId="44" fillId="0" borderId="0" xfId="0" applyFont="1" applyFill="1" applyBorder="1" applyAlignment="1">
      <alignment horizontal="center" vertical="center" textRotation="180"/>
    </xf>
    <xf numFmtId="0" fontId="36" fillId="0" borderId="0" xfId="0" applyFont="1"/>
    <xf numFmtId="0" fontId="1" fillId="0" borderId="0" xfId="0" applyFont="1" applyFill="1"/>
    <xf numFmtId="0" fontId="46" fillId="0" borderId="0" xfId="0" applyFont="1" applyFill="1"/>
    <xf numFmtId="0" fontId="44" fillId="0" borderId="0" xfId="0" applyFont="1" applyFill="1"/>
    <xf numFmtId="0" fontId="0" fillId="0" borderId="0" xfId="0" applyFont="1" applyFill="1"/>
    <xf numFmtId="49" fontId="43" fillId="0" borderId="0" xfId="0" applyNumberFormat="1" applyFont="1" applyFill="1" applyAlignment="1">
      <alignment horizontal="right"/>
    </xf>
    <xf numFmtId="49" fontId="43" fillId="0" borderId="0" xfId="0" applyNumberFormat="1" applyFont="1" applyFill="1" applyAlignment="1">
      <alignment horizontal="left"/>
    </xf>
    <xf numFmtId="0" fontId="0" fillId="0" borderId="0" xfId="0" quotePrefix="1" applyFont="1" applyFill="1" applyAlignment="1">
      <alignment horizontal="right"/>
    </xf>
    <xf numFmtId="0" fontId="48" fillId="0" borderId="0" xfId="0" applyFont="1" applyFill="1"/>
    <xf numFmtId="0" fontId="49" fillId="0" borderId="0" xfId="0" applyFont="1" applyFill="1"/>
    <xf numFmtId="1" fontId="43" fillId="0" borderId="0" xfId="0" applyNumberFormat="1" applyFont="1" applyFill="1" applyAlignment="1">
      <alignment horizontal="right"/>
    </xf>
    <xf numFmtId="0" fontId="4" fillId="0" borderId="12" xfId="0" applyFont="1" applyBorder="1"/>
    <xf numFmtId="4" fontId="43" fillId="0" borderId="14" xfId="0" applyNumberFormat="1" applyFont="1" applyBorder="1"/>
    <xf numFmtId="0" fontId="43" fillId="0" borderId="14" xfId="0" applyFont="1" applyBorder="1"/>
    <xf numFmtId="4" fontId="43" fillId="0" borderId="16" xfId="0" applyNumberFormat="1" applyFont="1" applyBorder="1" applyAlignment="1">
      <alignment horizontal="right"/>
    </xf>
    <xf numFmtId="166" fontId="43" fillId="0" borderId="14" xfId="0" applyNumberFormat="1" applyFont="1" applyBorder="1"/>
    <xf numFmtId="0" fontId="1" fillId="0" borderId="7" xfId="0" applyFont="1" applyBorder="1" applyAlignment="1">
      <alignment horizontal="left" vertical="top"/>
    </xf>
    <xf numFmtId="0" fontId="0" fillId="0" borderId="0" xfId="0" applyFill="1"/>
    <xf numFmtId="0" fontId="0" fillId="0" borderId="12" xfId="0" applyFill="1" applyBorder="1"/>
    <xf numFmtId="0" fontId="0" fillId="0" borderId="10" xfId="0" applyFill="1" applyBorder="1"/>
    <xf numFmtId="0" fontId="0" fillId="0" borderId="15" xfId="0" applyFill="1" applyBorder="1"/>
    <xf numFmtId="0" fontId="4" fillId="0" borderId="1" xfId="0" applyFont="1" applyBorder="1"/>
    <xf numFmtId="0" fontId="0" fillId="0" borderId="25" xfId="0" applyBorder="1" applyAlignment="1">
      <alignment horizontal="left" vertical="top"/>
    </xf>
    <xf numFmtId="0" fontId="1" fillId="0" borderId="25" xfId="0" applyFont="1" applyFill="1" applyBorder="1" applyAlignment="1">
      <alignment horizontal="left" vertical="top"/>
    </xf>
    <xf numFmtId="0" fontId="11" fillId="0" borderId="25" xfId="0" applyFont="1" applyBorder="1" applyAlignment="1">
      <alignment horizontal="left" vertical="top"/>
    </xf>
    <xf numFmtId="0" fontId="1" fillId="0" borderId="24" xfId="0" applyFont="1" applyFill="1" applyBorder="1" applyAlignment="1">
      <alignment horizontal="left" vertical="top"/>
    </xf>
    <xf numFmtId="0" fontId="11" fillId="0" borderId="24" xfId="0" applyFont="1" applyBorder="1" applyAlignment="1">
      <alignment horizontal="left" vertical="top"/>
    </xf>
    <xf numFmtId="0" fontId="12" fillId="8" borderId="26" xfId="0" applyFont="1" applyFill="1" applyBorder="1" applyAlignment="1">
      <alignment horizontal="left" vertical="top" wrapText="1"/>
    </xf>
    <xf numFmtId="0" fontId="1" fillId="8" borderId="7" xfId="0" applyFont="1" applyFill="1" applyBorder="1" applyAlignment="1">
      <alignment horizontal="left" vertical="top" wrapText="1"/>
    </xf>
    <xf numFmtId="0" fontId="1" fillId="8" borderId="8" xfId="0" applyFont="1" applyFill="1" applyBorder="1" applyAlignment="1">
      <alignment horizontal="left" vertical="top" wrapText="1"/>
    </xf>
    <xf numFmtId="0" fontId="1" fillId="8" borderId="8" xfId="0" applyFont="1" applyFill="1" applyBorder="1" applyAlignment="1">
      <alignment horizontal="center" vertical="top"/>
    </xf>
    <xf numFmtId="0" fontId="3" fillId="0" borderId="8" xfId="0" applyFont="1" applyBorder="1" applyAlignment="1">
      <alignment horizontal="left" vertical="top" wrapText="1"/>
    </xf>
    <xf numFmtId="0" fontId="3" fillId="6" borderId="8" xfId="0" applyFont="1" applyFill="1" applyBorder="1" applyAlignment="1">
      <alignment horizontal="left" vertical="top" wrapText="1"/>
    </xf>
    <xf numFmtId="0" fontId="44" fillId="0" borderId="16" xfId="0" applyFont="1" applyBorder="1"/>
    <xf numFmtId="4" fontId="43" fillId="0" borderId="15" xfId="0" applyNumberFormat="1" applyFont="1" applyBorder="1"/>
    <xf numFmtId="4" fontId="43" fillId="3" borderId="14" xfId="0" applyNumberFormat="1" applyFont="1" applyFill="1" applyBorder="1"/>
    <xf numFmtId="4" fontId="43" fillId="3" borderId="0" xfId="0" applyNumberFormat="1" applyFont="1" applyFill="1"/>
    <xf numFmtId="168" fontId="43" fillId="3" borderId="0" xfId="0" applyNumberFormat="1" applyFont="1" applyFill="1" applyBorder="1"/>
    <xf numFmtId="3" fontId="43" fillId="0" borderId="16" xfId="0" applyNumberFormat="1" applyFont="1" applyFill="1" applyBorder="1"/>
    <xf numFmtId="0" fontId="4" fillId="0" borderId="12" xfId="0" applyFont="1" applyFill="1" applyBorder="1"/>
    <xf numFmtId="0" fontId="4" fillId="0" borderId="15" xfId="0" applyFont="1" applyFill="1" applyBorder="1"/>
    <xf numFmtId="1" fontId="0" fillId="0" borderId="16" xfId="0" applyNumberFormat="1" applyBorder="1"/>
    <xf numFmtId="1" fontId="3" fillId="0" borderId="16" xfId="0" applyNumberFormat="1" applyFont="1" applyBorder="1"/>
    <xf numFmtId="1" fontId="3" fillId="0" borderId="12" xfId="0" applyNumberFormat="1" applyFont="1" applyBorder="1"/>
    <xf numFmtId="168" fontId="0" fillId="0" borderId="4" xfId="0" applyNumberFormat="1" applyBorder="1"/>
    <xf numFmtId="168" fontId="0" fillId="0" borderId="3" xfId="0" applyNumberFormat="1" applyBorder="1"/>
    <xf numFmtId="1" fontId="0" fillId="0" borderId="13" xfId="0" applyNumberFormat="1" applyFill="1" applyBorder="1"/>
    <xf numFmtId="1" fontId="0" fillId="0" borderId="0" xfId="0" applyNumberFormat="1" applyFill="1" applyBorder="1"/>
    <xf numFmtId="1" fontId="0" fillId="0" borderId="12" xfId="0" applyNumberFormat="1" applyBorder="1"/>
    <xf numFmtId="0" fontId="1" fillId="0" borderId="6" xfId="0" applyFont="1" applyBorder="1"/>
    <xf numFmtId="0" fontId="1" fillId="0" borderId="12" xfId="0" applyFont="1" applyBorder="1" applyAlignment="1">
      <alignment horizontal="center"/>
    </xf>
    <xf numFmtId="0" fontId="1" fillId="0" borderId="10" xfId="0" applyFont="1" applyBorder="1" applyAlignment="1">
      <alignment horizontal="center"/>
    </xf>
    <xf numFmtId="0" fontId="1" fillId="0" borderId="15" xfId="0" applyFont="1" applyBorder="1" applyAlignment="1">
      <alignment horizontal="center"/>
    </xf>
    <xf numFmtId="9" fontId="0" fillId="0" borderId="14" xfId="2" applyFont="1" applyBorder="1"/>
    <xf numFmtId="9" fontId="0" fillId="0" borderId="12" xfId="2" applyFont="1" applyBorder="1"/>
    <xf numFmtId="9" fontId="0" fillId="0" borderId="15" xfId="2" applyFont="1" applyBorder="1"/>
    <xf numFmtId="0" fontId="1" fillId="18" borderId="5" xfId="0" applyFont="1" applyFill="1" applyBorder="1"/>
    <xf numFmtId="0" fontId="1" fillId="18" borderId="12" xfId="0" applyFont="1" applyFill="1" applyBorder="1" applyAlignment="1">
      <alignment horizontal="center"/>
    </xf>
    <xf numFmtId="0" fontId="1" fillId="18" borderId="10" xfId="0" applyFont="1" applyFill="1" applyBorder="1" applyAlignment="1">
      <alignment horizontal="center"/>
    </xf>
    <xf numFmtId="0" fontId="1" fillId="18" borderId="15" xfId="0" applyFont="1" applyFill="1" applyBorder="1" applyAlignment="1">
      <alignment horizontal="center"/>
    </xf>
    <xf numFmtId="0" fontId="0" fillId="18" borderId="6" xfId="0" applyFill="1" applyBorder="1"/>
    <xf numFmtId="0" fontId="0" fillId="18" borderId="16" xfId="0" applyFill="1" applyBorder="1"/>
    <xf numFmtId="0" fontId="0" fillId="18" borderId="0" xfId="0" applyFill="1" applyBorder="1"/>
    <xf numFmtId="0" fontId="0" fillId="18" borderId="14" xfId="0" applyFill="1" applyBorder="1"/>
    <xf numFmtId="0" fontId="0" fillId="18" borderId="9" xfId="0" applyFill="1" applyBorder="1" applyAlignment="1"/>
    <xf numFmtId="0" fontId="0" fillId="18" borderId="9" xfId="0" applyFill="1" applyBorder="1"/>
    <xf numFmtId="0" fontId="0" fillId="18" borderId="12" xfId="0" applyFill="1" applyBorder="1"/>
    <xf numFmtId="0" fontId="0" fillId="18" borderId="10" xfId="0" applyFill="1" applyBorder="1"/>
    <xf numFmtId="0" fontId="0" fillId="18" borderId="15" xfId="0" applyFill="1" applyBorder="1"/>
    <xf numFmtId="0" fontId="1" fillId="0" borderId="13" xfId="0" applyFont="1" applyBorder="1" applyAlignment="1">
      <alignment horizontal="left"/>
    </xf>
    <xf numFmtId="1" fontId="0" fillId="0" borderId="0" xfId="2" applyNumberFormat="1" applyFont="1" applyFill="1" applyBorder="1"/>
    <xf numFmtId="1" fontId="0" fillId="0" borderId="10" xfId="2" applyNumberFormat="1" applyFont="1" applyFill="1" applyBorder="1"/>
    <xf numFmtId="0" fontId="1" fillId="0" borderId="11" xfId="0" quotePrefix="1" applyFont="1" applyBorder="1"/>
    <xf numFmtId="0" fontId="1" fillId="0" borderId="13" xfId="0" applyFont="1" applyBorder="1"/>
    <xf numFmtId="0" fontId="1" fillId="0" borderId="17" xfId="0" applyFont="1" applyBorder="1"/>
    <xf numFmtId="0" fontId="1" fillId="0" borderId="11" xfId="0" applyFont="1" applyBorder="1"/>
    <xf numFmtId="0" fontId="10" fillId="0" borderId="11" xfId="0" applyFont="1" applyBorder="1" applyAlignment="1">
      <alignment vertical="center"/>
    </xf>
    <xf numFmtId="168" fontId="0" fillId="0" borderId="0" xfId="0" applyNumberFormat="1" applyBorder="1"/>
    <xf numFmtId="168" fontId="0" fillId="0" borderId="14" xfId="0" applyNumberFormat="1" applyBorder="1"/>
    <xf numFmtId="168" fontId="0" fillId="0" borderId="10" xfId="0" applyNumberFormat="1" applyBorder="1"/>
    <xf numFmtId="168" fontId="0" fillId="0" borderId="15" xfId="0" applyNumberFormat="1" applyBorder="1"/>
    <xf numFmtId="1" fontId="0" fillId="0" borderId="0" xfId="0" applyNumberFormat="1" applyBorder="1"/>
    <xf numFmtId="0" fontId="52" fillId="0" borderId="10" xfId="0" applyFont="1" applyFill="1" applyBorder="1"/>
    <xf numFmtId="0" fontId="53" fillId="0" borderId="10" xfId="0" applyFont="1" applyBorder="1"/>
    <xf numFmtId="0" fontId="53" fillId="0" borderId="0" xfId="0" applyFont="1"/>
    <xf numFmtId="0" fontId="54" fillId="0" borderId="0" xfId="0" applyFont="1"/>
    <xf numFmtId="0" fontId="56" fillId="0" borderId="0" xfId="0" applyFont="1"/>
    <xf numFmtId="0" fontId="54" fillId="0" borderId="0" xfId="0" applyFont="1" applyAlignment="1">
      <alignment wrapText="1"/>
    </xf>
    <xf numFmtId="0" fontId="51" fillId="0" borderId="0" xfId="0" applyFont="1" applyBorder="1"/>
    <xf numFmtId="0" fontId="51" fillId="0" borderId="0" xfId="0" applyFont="1" applyFill="1"/>
    <xf numFmtId="168" fontId="0" fillId="0" borderId="16" xfId="0" applyNumberFormat="1" applyBorder="1"/>
    <xf numFmtId="168" fontId="0" fillId="0" borderId="12" xfId="0" applyNumberFormat="1" applyBorder="1"/>
    <xf numFmtId="168" fontId="0" fillId="0" borderId="0" xfId="0" applyNumberFormat="1" applyFill="1" applyBorder="1"/>
    <xf numFmtId="168" fontId="0" fillId="0" borderId="10" xfId="0" applyNumberFormat="1" applyFill="1" applyBorder="1"/>
    <xf numFmtId="0" fontId="3" fillId="0" borderId="17" xfId="0" applyFont="1" applyFill="1" applyBorder="1"/>
    <xf numFmtId="0" fontId="3" fillId="0" borderId="14" xfId="0" applyFont="1" applyFill="1" applyBorder="1"/>
    <xf numFmtId="0" fontId="4" fillId="0" borderId="17" xfId="0" applyFont="1" applyBorder="1"/>
    <xf numFmtId="0" fontId="4" fillId="0" borderId="15" xfId="0" applyFont="1" applyBorder="1"/>
    <xf numFmtId="9" fontId="0" fillId="0" borderId="0" xfId="0" applyNumberFormat="1"/>
    <xf numFmtId="3" fontId="3" fillId="0" borderId="8" xfId="0" applyNumberFormat="1" applyFont="1" applyBorder="1" applyAlignment="1">
      <alignment horizontal="right" vertical="top" wrapText="1"/>
    </xf>
    <xf numFmtId="0" fontId="3" fillId="0" borderId="24" xfId="0" applyFont="1" applyBorder="1" applyAlignment="1">
      <alignment horizontal="left" vertical="center"/>
    </xf>
    <xf numFmtId="0" fontId="10" fillId="6" borderId="7" xfId="0" applyFont="1" applyFill="1" applyBorder="1" applyAlignment="1">
      <alignment horizontal="left" vertical="top" wrapText="1"/>
    </xf>
    <xf numFmtId="0" fontId="3" fillId="6" borderId="8" xfId="0" applyFont="1" applyFill="1" applyBorder="1" applyAlignment="1">
      <alignment horizontal="right" vertical="top"/>
    </xf>
    <xf numFmtId="0" fontId="3" fillId="0" borderId="25" xfId="0" applyFont="1" applyBorder="1" applyAlignment="1">
      <alignment horizontal="left" vertical="top"/>
    </xf>
    <xf numFmtId="0" fontId="3" fillId="0" borderId="8" xfId="0" applyFont="1" applyBorder="1" applyAlignment="1">
      <alignment horizontal="left" vertical="top"/>
    </xf>
    <xf numFmtId="0" fontId="3" fillId="0" borderId="24" xfId="0" applyFont="1" applyBorder="1" applyAlignment="1">
      <alignment horizontal="left" vertical="top"/>
    </xf>
    <xf numFmtId="1" fontId="3" fillId="0" borderId="7" xfId="0" applyNumberFormat="1" applyFont="1" applyBorder="1" applyAlignment="1">
      <alignment horizontal="right" vertical="top" wrapText="1"/>
    </xf>
    <xf numFmtId="164" fontId="3" fillId="0" borderId="8" xfId="0" applyNumberFormat="1" applyFont="1" applyBorder="1" applyAlignment="1">
      <alignment horizontal="right" vertical="top" wrapText="1"/>
    </xf>
    <xf numFmtId="1" fontId="3" fillId="0" borderId="7" xfId="0" applyNumberFormat="1" applyFont="1" applyBorder="1" applyAlignment="1">
      <alignment horizontal="right" vertical="top"/>
    </xf>
    <xf numFmtId="3" fontId="3" fillId="0" borderId="8" xfId="0" applyNumberFormat="1" applyFont="1" applyBorder="1" applyAlignment="1">
      <alignment horizontal="right" vertical="top"/>
    </xf>
    <xf numFmtId="164" fontId="3" fillId="0" borderId="8" xfId="0" applyNumberFormat="1" applyFont="1" applyBorder="1" applyAlignment="1">
      <alignment horizontal="right" vertical="top"/>
    </xf>
    <xf numFmtId="0" fontId="3" fillId="0" borderId="8" xfId="0" applyFont="1" applyBorder="1" applyAlignment="1">
      <alignment horizontal="righ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164" fontId="3" fillId="4" borderId="8" xfId="0" applyNumberFormat="1" applyFont="1" applyFill="1" applyBorder="1" applyAlignment="1">
      <alignment horizontal="right" vertical="top" wrapText="1"/>
    </xf>
    <xf numFmtId="0" fontId="10" fillId="0" borderId="7" xfId="0" applyFont="1" applyBorder="1" applyAlignment="1">
      <alignment horizontal="left" vertical="top" wrapText="1"/>
    </xf>
    <xf numFmtId="0" fontId="3" fillId="0" borderId="8" xfId="0" applyFont="1" applyBorder="1" applyAlignment="1">
      <alignment horizontal="right" vertical="top"/>
    </xf>
    <xf numFmtId="1" fontId="10" fillId="0" borderId="7" xfId="0" applyNumberFormat="1" applyFont="1" applyBorder="1" applyAlignment="1">
      <alignment horizontal="left" vertical="top" wrapText="1"/>
    </xf>
    <xf numFmtId="0" fontId="3" fillId="6" borderId="27" xfId="0" applyFont="1" applyFill="1" applyBorder="1" applyAlignment="1">
      <alignment horizontal="right" vertical="top"/>
    </xf>
    <xf numFmtId="3" fontId="3" fillId="0" borderId="27" xfId="0" applyNumberFormat="1" applyFont="1" applyBorder="1" applyAlignment="1">
      <alignment horizontal="right" vertical="top"/>
    </xf>
    <xf numFmtId="0" fontId="3" fillId="0" borderId="27" xfId="0" applyFont="1" applyBorder="1" applyAlignment="1">
      <alignment horizontal="right" vertical="top"/>
    </xf>
    <xf numFmtId="3" fontId="3" fillId="4" borderId="27" xfId="0" applyNumberFormat="1" applyFont="1" applyFill="1" applyBorder="1" applyAlignment="1">
      <alignment horizontal="right" vertical="top"/>
    </xf>
    <xf numFmtId="0" fontId="3" fillId="0" borderId="7" xfId="0" applyFont="1" applyBorder="1" applyAlignment="1">
      <alignment horizontal="left" vertical="top" wrapText="1"/>
    </xf>
    <xf numFmtId="0" fontId="57" fillId="8" borderId="26" xfId="0" applyFont="1" applyFill="1" applyBorder="1" applyAlignment="1">
      <alignment horizontal="left" vertical="top" wrapText="1"/>
    </xf>
    <xf numFmtId="0" fontId="10" fillId="8" borderId="7" xfId="0" applyFont="1" applyFill="1" applyBorder="1" applyAlignment="1">
      <alignment horizontal="left" vertical="top" wrapText="1"/>
    </xf>
    <xf numFmtId="0" fontId="10" fillId="8" borderId="8" xfId="0" applyFont="1" applyFill="1" applyBorder="1" applyAlignment="1">
      <alignment horizontal="left" vertical="top" wrapText="1"/>
    </xf>
    <xf numFmtId="0" fontId="10" fillId="8" borderId="8" xfId="0" applyFont="1" applyFill="1" applyBorder="1" applyAlignment="1">
      <alignment horizontal="right" vertical="top"/>
    </xf>
    <xf numFmtId="0" fontId="10" fillId="0" borderId="25" xfId="0" applyFont="1" applyBorder="1" applyAlignment="1">
      <alignment horizontal="left" vertical="top"/>
    </xf>
    <xf numFmtId="0" fontId="10" fillId="0" borderId="8" xfId="0" applyFont="1" applyBorder="1" applyAlignment="1">
      <alignment horizontal="left" vertical="top"/>
    </xf>
    <xf numFmtId="3" fontId="3" fillId="0" borderId="8" xfId="0" applyNumberFormat="1" applyFont="1" applyFill="1" applyBorder="1" applyAlignment="1">
      <alignment horizontal="right" vertical="top" wrapText="1"/>
    </xf>
    <xf numFmtId="3" fontId="3" fillId="4" borderId="8" xfId="0" applyNumberFormat="1" applyFont="1" applyFill="1" applyBorder="1" applyAlignment="1">
      <alignment horizontal="right" vertical="top" wrapText="1"/>
    </xf>
    <xf numFmtId="0" fontId="3" fillId="0" borderId="24" xfId="0" applyFont="1" applyBorder="1" applyAlignment="1">
      <alignment horizontal="left" vertical="top" wrapText="1"/>
    </xf>
    <xf numFmtId="1" fontId="3" fillId="0" borderId="7" xfId="0" applyNumberFormat="1" applyFont="1" applyBorder="1" applyAlignment="1">
      <alignment horizontal="left" vertical="top" wrapText="1"/>
    </xf>
    <xf numFmtId="0" fontId="3" fillId="0" borderId="25" xfId="0" applyFont="1" applyBorder="1" applyAlignment="1">
      <alignment horizontal="left" vertical="top" wrapText="1"/>
    </xf>
    <xf numFmtId="3" fontId="3" fillId="0" borderId="32" xfId="0" applyNumberFormat="1" applyFont="1" applyBorder="1" applyAlignment="1">
      <alignment horizontal="right" vertical="top" wrapText="1"/>
    </xf>
    <xf numFmtId="0" fontId="3" fillId="0" borderId="24" xfId="0" applyFont="1" applyFill="1" applyBorder="1" applyAlignment="1">
      <alignment horizontal="left" vertical="top"/>
    </xf>
    <xf numFmtId="0" fontId="3" fillId="0" borderId="7" xfId="0" applyFont="1" applyFill="1" applyBorder="1" applyAlignment="1">
      <alignment horizontal="right" vertical="top" wrapText="1"/>
    </xf>
    <xf numFmtId="0" fontId="3" fillId="0" borderId="8" xfId="0" applyFont="1" applyFill="1" applyBorder="1" applyAlignment="1">
      <alignment horizontal="left" vertical="top" wrapText="1"/>
    </xf>
    <xf numFmtId="0" fontId="3" fillId="0" borderId="8" xfId="0" applyFont="1" applyFill="1" applyBorder="1" applyAlignment="1">
      <alignment horizontal="right" vertical="top"/>
    </xf>
    <xf numFmtId="0" fontId="10" fillId="0" borderId="7" xfId="0" applyFont="1" applyFill="1" applyBorder="1" applyAlignment="1">
      <alignment horizontal="left" vertical="top" wrapText="1"/>
    </xf>
    <xf numFmtId="0" fontId="3" fillId="0" borderId="25" xfId="0" applyFont="1" applyFill="1" applyBorder="1" applyAlignment="1">
      <alignment horizontal="left" vertical="top"/>
    </xf>
    <xf numFmtId="0" fontId="3" fillId="0" borderId="8" xfId="0" applyFont="1" applyFill="1" applyBorder="1" applyAlignment="1">
      <alignment horizontal="left" vertical="top"/>
    </xf>
    <xf numFmtId="3" fontId="3" fillId="0" borderId="8" xfId="0" quotePrefix="1" applyNumberFormat="1" applyFont="1" applyBorder="1" applyAlignment="1">
      <alignment horizontal="right" vertical="top"/>
    </xf>
    <xf numFmtId="0" fontId="3" fillId="4" borderId="27" xfId="0" applyFont="1" applyFill="1" applyBorder="1" applyAlignment="1">
      <alignment horizontal="right" vertical="top"/>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1" xfId="0" applyFont="1" applyBorder="1" applyAlignment="1">
      <alignment horizontal="right" vertical="top"/>
    </xf>
    <xf numFmtId="0" fontId="10" fillId="0" borderId="30" xfId="0" applyFont="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3" fillId="0" borderId="29" xfId="0" applyFont="1" applyBorder="1" applyAlignment="1">
      <alignment horizontal="right" vertical="top"/>
    </xf>
    <xf numFmtId="0" fontId="10" fillId="0" borderId="29" xfId="0" applyFont="1" applyBorder="1" applyAlignment="1">
      <alignment horizontal="left" vertical="top" wrapText="1"/>
    </xf>
    <xf numFmtId="0" fontId="0" fillId="0" borderId="5" xfId="0" applyFill="1" applyBorder="1"/>
    <xf numFmtId="0" fontId="0" fillId="0" borderId="9" xfId="0" applyFill="1" applyBorder="1"/>
    <xf numFmtId="0" fontId="0" fillId="0" borderId="6" xfId="0" applyFill="1" applyBorder="1"/>
    <xf numFmtId="0" fontId="4" fillId="0" borderId="2" xfId="0" applyFont="1" applyBorder="1"/>
    <xf numFmtId="0" fontId="4" fillId="0" borderId="3" xfId="0" applyFont="1" applyBorder="1"/>
    <xf numFmtId="165" fontId="0" fillId="0" borderId="13" xfId="1" applyNumberFormat="1" applyFont="1" applyFill="1" applyBorder="1"/>
    <xf numFmtId="165" fontId="0" fillId="0" borderId="17" xfId="1" applyNumberFormat="1" applyFont="1" applyFill="1" applyBorder="1"/>
    <xf numFmtId="165" fontId="0" fillId="0" borderId="11" xfId="1" applyNumberFormat="1" applyFont="1" applyFill="1" applyBorder="1"/>
    <xf numFmtId="165" fontId="0" fillId="0" borderId="0" xfId="1" applyNumberFormat="1" applyFont="1" applyFill="1" applyBorder="1"/>
    <xf numFmtId="165" fontId="0" fillId="0" borderId="16" xfId="1" applyNumberFormat="1" applyFont="1" applyFill="1" applyBorder="1"/>
    <xf numFmtId="165" fontId="0" fillId="0" borderId="14" xfId="1" applyNumberFormat="1" applyFont="1" applyFill="1" applyBorder="1"/>
    <xf numFmtId="165" fontId="0" fillId="0" borderId="0" xfId="1" applyNumberFormat="1" applyFont="1" applyBorder="1"/>
    <xf numFmtId="165" fontId="0" fillId="0" borderId="16" xfId="1" applyNumberFormat="1" applyFont="1" applyBorder="1"/>
    <xf numFmtId="165" fontId="0" fillId="0" borderId="14" xfId="1" applyNumberFormat="1" applyFont="1" applyBorder="1"/>
    <xf numFmtId="9" fontId="3" fillId="0" borderId="8" xfId="2" applyFont="1" applyBorder="1" applyAlignment="1">
      <alignment horizontal="left" vertical="top"/>
    </xf>
    <xf numFmtId="0" fontId="58" fillId="0" borderId="0" xfId="0" applyFont="1"/>
    <xf numFmtId="1" fontId="0" fillId="0" borderId="0" xfId="0" applyNumberFormat="1"/>
    <xf numFmtId="0" fontId="0" fillId="0" borderId="0" xfId="0" applyFont="1"/>
    <xf numFmtId="0" fontId="11" fillId="0" borderId="0" xfId="0" applyFont="1"/>
    <xf numFmtId="0" fontId="59" fillId="0" borderId="0" xfId="0" applyFont="1"/>
    <xf numFmtId="168" fontId="0" fillId="0" borderId="11" xfId="0" applyNumberFormat="1" applyBorder="1"/>
    <xf numFmtId="168" fontId="0" fillId="0" borderId="13" xfId="0" applyNumberFormat="1" applyFill="1" applyBorder="1"/>
    <xf numFmtId="168" fontId="0" fillId="0" borderId="0" xfId="0" applyNumberFormat="1"/>
    <xf numFmtId="6" fontId="0" fillId="3" borderId="0" xfId="0" applyNumberFormat="1" applyFill="1"/>
    <xf numFmtId="8" fontId="0" fillId="3" borderId="0" xfId="0" applyNumberFormat="1" applyFill="1"/>
    <xf numFmtId="166" fontId="0" fillId="0" borderId="0" xfId="0" applyNumberFormat="1"/>
    <xf numFmtId="169" fontId="0" fillId="0" borderId="0" xfId="0" applyNumberFormat="1" applyBorder="1"/>
    <xf numFmtId="166" fontId="0" fillId="0" borderId="0" xfId="0" applyNumberFormat="1" applyBorder="1"/>
    <xf numFmtId="0" fontId="14" fillId="0" borderId="0" xfId="0" applyFont="1" applyAlignment="1">
      <alignment vertical="top"/>
    </xf>
    <xf numFmtId="0" fontId="4" fillId="0" borderId="0" xfId="0" applyFont="1" applyAlignment="1">
      <alignment vertical="top"/>
    </xf>
    <xf numFmtId="0" fontId="4" fillId="0" borderId="0" xfId="0" applyFont="1" applyFill="1" applyAlignment="1">
      <alignment horizontal="left"/>
    </xf>
    <xf numFmtId="0" fontId="4" fillId="0" borderId="0" xfId="0" applyFont="1" applyFill="1" applyAlignment="1"/>
    <xf numFmtId="1" fontId="0" fillId="0" borderId="0" xfId="0" applyNumberFormat="1" applyAlignment="1">
      <alignment horizontal="right"/>
    </xf>
    <xf numFmtId="0" fontId="20" fillId="0" borderId="16" xfId="0" applyFont="1" applyBorder="1"/>
    <xf numFmtId="0" fontId="20" fillId="0" borderId="16" xfId="0" applyFont="1" applyBorder="1" applyAlignment="1">
      <alignment horizontal="right"/>
    </xf>
    <xf numFmtId="0" fontId="20" fillId="0" borderId="0" xfId="0" applyFont="1" applyAlignment="1">
      <alignment horizontal="right"/>
    </xf>
    <xf numFmtId="0" fontId="17" fillId="0" borderId="16" xfId="0" applyFont="1" applyBorder="1"/>
    <xf numFmtId="0" fontId="20" fillId="0" borderId="0" xfId="0" applyFont="1" applyBorder="1"/>
    <xf numFmtId="0" fontId="4" fillId="0" borderId="16" xfId="0" applyFont="1" applyFill="1" applyBorder="1"/>
    <xf numFmtId="4" fontId="14" fillId="3" borderId="16" xfId="0" applyNumberFormat="1" applyFont="1" applyFill="1" applyBorder="1"/>
    <xf numFmtId="4" fontId="14" fillId="3" borderId="0" xfId="0" applyNumberFormat="1" applyFont="1" applyFill="1" applyBorder="1"/>
    <xf numFmtId="4" fontId="14" fillId="3" borderId="12" xfId="0" applyNumberFormat="1" applyFont="1" applyFill="1" applyBorder="1"/>
    <xf numFmtId="0" fontId="4" fillId="0" borderId="16" xfId="0" applyFont="1" applyBorder="1" applyAlignment="1">
      <alignment horizontal="left"/>
    </xf>
    <xf numFmtId="3" fontId="43" fillId="3" borderId="16" xfId="0" applyNumberFormat="1" applyFont="1" applyFill="1" applyBorder="1" applyAlignment="1">
      <alignment horizontal="center"/>
    </xf>
    <xf numFmtId="2" fontId="43" fillId="3" borderId="0" xfId="0" applyNumberFormat="1" applyFont="1" applyFill="1" applyBorder="1" applyAlignment="1">
      <alignment horizontal="center"/>
    </xf>
    <xf numFmtId="3" fontId="43" fillId="0" borderId="16" xfId="0" applyNumberFormat="1" applyFont="1" applyBorder="1" applyAlignment="1">
      <alignment horizontal="center"/>
    </xf>
    <xf numFmtId="2" fontId="43" fillId="0" borderId="0" xfId="0" applyNumberFormat="1" applyFont="1" applyBorder="1" applyAlignment="1">
      <alignment horizontal="center"/>
    </xf>
    <xf numFmtId="4" fontId="43" fillId="0" borderId="16" xfId="0" applyNumberFormat="1" applyFont="1" applyBorder="1" applyAlignment="1">
      <alignment horizontal="center"/>
    </xf>
    <xf numFmtId="2" fontId="43" fillId="0" borderId="14" xfId="0" applyNumberFormat="1" applyFont="1" applyBorder="1" applyAlignment="1">
      <alignment horizontal="center"/>
    </xf>
    <xf numFmtId="4" fontId="4" fillId="0" borderId="14" xfId="0" applyNumberFormat="1" applyFont="1" applyBorder="1"/>
    <xf numFmtId="4" fontId="4" fillId="0" borderId="12" xfId="0" applyNumberFormat="1" applyFont="1" applyBorder="1"/>
    <xf numFmtId="4" fontId="4" fillId="0" borderId="15" xfId="0" applyNumberFormat="1" applyFont="1" applyBorder="1"/>
    <xf numFmtId="3" fontId="0" fillId="3" borderId="0" xfId="0" applyNumberFormat="1" applyFill="1"/>
    <xf numFmtId="0" fontId="0" fillId="3" borderId="0" xfId="0" applyFill="1"/>
    <xf numFmtId="1" fontId="0" fillId="3" borderId="0" xfId="0" applyNumberFormat="1" applyFill="1"/>
    <xf numFmtId="9" fontId="0" fillId="3" borderId="0" xfId="0" applyNumberFormat="1" applyFill="1"/>
    <xf numFmtId="166" fontId="0" fillId="3" borderId="0" xfId="0" applyNumberFormat="1" applyFill="1"/>
    <xf numFmtId="166" fontId="0" fillId="3" borderId="0" xfId="0" applyNumberFormat="1" applyFill="1" applyBorder="1"/>
    <xf numFmtId="9" fontId="43" fillId="0" borderId="12" xfId="2" applyFont="1" applyBorder="1"/>
    <xf numFmtId="3" fontId="44" fillId="0" borderId="11" xfId="0" applyNumberFormat="1" applyFont="1" applyBorder="1" applyAlignment="1">
      <alignment horizontal="left"/>
    </xf>
    <xf numFmtId="9" fontId="43" fillId="0" borderId="15" xfId="2" applyFont="1" applyBorder="1"/>
    <xf numFmtId="9" fontId="43" fillId="0" borderId="16" xfId="2" applyFont="1" applyBorder="1"/>
    <xf numFmtId="9" fontId="43" fillId="0" borderId="14" xfId="2" applyFont="1" applyBorder="1"/>
    <xf numFmtId="165" fontId="0" fillId="0" borderId="12" xfId="1" applyNumberFormat="1" applyFont="1" applyBorder="1"/>
    <xf numFmtId="165" fontId="0" fillId="0" borderId="10" xfId="1" applyNumberFormat="1" applyFont="1" applyBorder="1"/>
    <xf numFmtId="165" fontId="0" fillId="0" borderId="15" xfId="1" applyNumberFormat="1" applyFont="1" applyBorder="1"/>
    <xf numFmtId="1" fontId="0" fillId="0" borderId="14" xfId="0" applyNumberFormat="1" applyBorder="1"/>
    <xf numFmtId="1" fontId="0" fillId="0" borderId="10" xfId="0" applyNumberFormat="1" applyBorder="1"/>
    <xf numFmtId="1" fontId="0" fillId="0" borderId="15" xfId="0" applyNumberFormat="1" applyBorder="1"/>
    <xf numFmtId="1" fontId="0" fillId="3" borderId="16" xfId="0" applyNumberFormat="1" applyFill="1" applyBorder="1"/>
    <xf numFmtId="1" fontId="0" fillId="3" borderId="0" xfId="0" applyNumberFormat="1" applyFill="1" applyBorder="1"/>
    <xf numFmtId="1" fontId="0" fillId="3" borderId="14" xfId="0" applyNumberFormat="1" applyFill="1" applyBorder="1"/>
    <xf numFmtId="8" fontId="0" fillId="0" borderId="0" xfId="0" applyNumberFormat="1" applyFill="1"/>
    <xf numFmtId="4" fontId="43" fillId="0" borderId="14" xfId="0" applyNumberFormat="1" applyFont="1" applyFill="1" applyBorder="1"/>
    <xf numFmtId="4" fontId="43" fillId="0" borderId="16" xfId="0" applyNumberFormat="1" applyFont="1" applyFill="1" applyBorder="1"/>
    <xf numFmtId="0" fontId="42" fillId="0" borderId="0" xfId="3"/>
    <xf numFmtId="3" fontId="3" fillId="19" borderId="8" xfId="0" applyNumberFormat="1" applyFont="1" applyFill="1" applyBorder="1" applyAlignment="1">
      <alignment horizontal="right" vertical="top"/>
    </xf>
    <xf numFmtId="1" fontId="0" fillId="0" borderId="0" xfId="0" applyNumberFormat="1" applyFill="1"/>
    <xf numFmtId="169" fontId="0" fillId="0" borderId="0" xfId="0" applyNumberFormat="1" applyFill="1"/>
    <xf numFmtId="3" fontId="3" fillId="0" borderId="8" xfId="0" applyNumberFormat="1" applyFont="1" applyFill="1" applyBorder="1" applyAlignment="1">
      <alignment horizontal="right" vertical="top"/>
    </xf>
    <xf numFmtId="0" fontId="4" fillId="0" borderId="11" xfId="0" applyFont="1" applyFill="1" applyBorder="1"/>
    <xf numFmtId="0" fontId="0" fillId="0" borderId="11" xfId="0" applyBorder="1"/>
    <xf numFmtId="0" fontId="3" fillId="0" borderId="32" xfId="0" applyFont="1" applyBorder="1" applyAlignment="1">
      <alignment horizontal="right" vertical="top"/>
    </xf>
    <xf numFmtId="165" fontId="0" fillId="0" borderId="12" xfId="1" applyNumberFormat="1" applyFont="1" applyFill="1" applyBorder="1"/>
    <xf numFmtId="165" fontId="0" fillId="0" borderId="10" xfId="1" applyNumberFormat="1" applyFont="1" applyFill="1" applyBorder="1"/>
    <xf numFmtId="165" fontId="0" fillId="0" borderId="15" xfId="1" applyNumberFormat="1" applyFont="1" applyFill="1" applyBorder="1"/>
    <xf numFmtId="169" fontId="0" fillId="20" borderId="0" xfId="0" applyNumberFormat="1" applyFill="1"/>
    <xf numFmtId="169" fontId="0" fillId="3" borderId="0" xfId="0" applyNumberFormat="1" applyFill="1"/>
    <xf numFmtId="166" fontId="0" fillId="0" borderId="0" xfId="0" applyNumberFormat="1" applyFill="1"/>
    <xf numFmtId="39" fontId="0" fillId="3" borderId="0" xfId="0" applyNumberFormat="1" applyFill="1"/>
    <xf numFmtId="39" fontId="0" fillId="20" borderId="0" xfId="0" applyNumberFormat="1" applyFill="1"/>
    <xf numFmtId="3" fontId="0" fillId="0" borderId="0" xfId="0" applyNumberFormat="1" applyFill="1"/>
    <xf numFmtId="1" fontId="3" fillId="0" borderId="7" xfId="0" applyNumberFormat="1" applyFont="1" applyFill="1" applyBorder="1" applyAlignment="1">
      <alignment horizontal="right" vertical="top" wrapText="1"/>
    </xf>
    <xf numFmtId="0" fontId="3" fillId="0" borderId="8" xfId="0" applyFont="1" applyFill="1" applyBorder="1" applyAlignment="1">
      <alignment horizontal="right" vertical="top" wrapText="1"/>
    </xf>
    <xf numFmtId="3" fontId="0" fillId="18" borderId="0" xfId="0" applyNumberFormat="1" applyFill="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6" fillId="0" borderId="0" xfId="0" applyFont="1"/>
    <xf numFmtId="165" fontId="3" fillId="0" borderId="0" xfId="1" applyNumberFormat="1" applyFont="1"/>
    <xf numFmtId="1" fontId="0" fillId="0" borderId="11" xfId="0" applyNumberFormat="1" applyFill="1" applyBorder="1"/>
    <xf numFmtId="1" fontId="0" fillId="0" borderId="16" xfId="0" applyNumberFormat="1" applyFill="1" applyBorder="1"/>
    <xf numFmtId="1" fontId="0" fillId="0" borderId="14" xfId="0" applyNumberFormat="1" applyFill="1" applyBorder="1"/>
    <xf numFmtId="4" fontId="0" fillId="0" borderId="0" xfId="0" applyNumberFormat="1"/>
    <xf numFmtId="1" fontId="63" fillId="0" borderId="16" xfId="0" applyNumberFormat="1" applyFont="1" applyBorder="1"/>
    <xf numFmtId="1" fontId="63" fillId="0" borderId="12" xfId="0" applyNumberFormat="1" applyFont="1" applyBorder="1"/>
    <xf numFmtId="168" fontId="0" fillId="0" borderId="0" xfId="0" applyNumberFormat="1" applyFill="1"/>
    <xf numFmtId="0" fontId="23" fillId="0" borderId="2" xfId="0" applyFont="1" applyFill="1" applyBorder="1"/>
    <xf numFmtId="0" fontId="0" fillId="0" borderId="3" xfId="0" applyFill="1" applyBorder="1"/>
    <xf numFmtId="0" fontId="0" fillId="0" borderId="2" xfId="0" applyFill="1" applyBorder="1"/>
    <xf numFmtId="0" fontId="0" fillId="0" borderId="4" xfId="0" applyFill="1" applyBorder="1"/>
    <xf numFmtId="0" fontId="2" fillId="0" borderId="0" xfId="0" applyFont="1" applyFill="1"/>
    <xf numFmtId="168" fontId="2" fillId="0" borderId="0" xfId="0" applyNumberFormat="1" applyFont="1" applyFill="1"/>
    <xf numFmtId="166" fontId="0" fillId="21" borderId="0" xfId="0" applyNumberFormat="1" applyFill="1"/>
    <xf numFmtId="9" fontId="0" fillId="0" borderId="0" xfId="0" applyNumberFormat="1" applyFill="1"/>
    <xf numFmtId="2" fontId="0" fillId="0" borderId="0" xfId="0" applyNumberFormat="1" applyFill="1"/>
    <xf numFmtId="2" fontId="0" fillId="0" borderId="0" xfId="1" applyNumberFormat="1" applyFont="1" applyAlignment="1">
      <alignment horizontal="center"/>
    </xf>
    <xf numFmtId="2" fontId="0" fillId="0" borderId="0" xfId="0" applyNumberFormat="1"/>
    <xf numFmtId="2" fontId="0" fillId="0" borderId="0" xfId="0" applyNumberFormat="1" applyAlignment="1">
      <alignment horizontal="center"/>
    </xf>
    <xf numFmtId="2" fontId="0" fillId="0" borderId="0" xfId="0" applyNumberFormat="1" applyAlignment="1">
      <alignment horizontal="left"/>
    </xf>
    <xf numFmtId="2" fontId="0" fillId="0" borderId="0" xfId="0" applyNumberFormat="1" applyFill="1" applyAlignment="1">
      <alignment textRotation="90"/>
    </xf>
    <xf numFmtId="0" fontId="0" fillId="0" borderId="0" xfId="0" applyAlignment="1">
      <alignment textRotation="90"/>
    </xf>
    <xf numFmtId="2" fontId="0" fillId="0" borderId="0" xfId="1" applyNumberFormat="1" applyFont="1"/>
    <xf numFmtId="169" fontId="0" fillId="22" borderId="0" xfId="0" applyNumberFormat="1" applyFill="1"/>
    <xf numFmtId="0" fontId="0" fillId="0" borderId="0" xfId="0" applyAlignment="1">
      <alignment horizontal="right"/>
    </xf>
    <xf numFmtId="2" fontId="0" fillId="0" borderId="16" xfId="0" applyNumberFormat="1" applyFill="1" applyBorder="1"/>
    <xf numFmtId="2" fontId="0" fillId="0" borderId="13" xfId="0" applyNumberFormat="1" applyFill="1" applyBorder="1"/>
    <xf numFmtId="2" fontId="0" fillId="0" borderId="14" xfId="0" applyNumberFormat="1" applyFill="1" applyBorder="1"/>
    <xf numFmtId="2" fontId="0" fillId="2" borderId="11" xfId="0" applyNumberFormat="1" applyFill="1" applyBorder="1"/>
    <xf numFmtId="2" fontId="0" fillId="2" borderId="13" xfId="0" applyNumberFormat="1" applyFill="1" applyBorder="1"/>
    <xf numFmtId="2" fontId="0" fillId="2" borderId="17" xfId="0" applyNumberFormat="1" applyFill="1" applyBorder="1"/>
    <xf numFmtId="2" fontId="0" fillId="2" borderId="16" xfId="0" applyNumberFormat="1" applyFill="1" applyBorder="1"/>
    <xf numFmtId="2" fontId="0" fillId="2" borderId="14" xfId="0" applyNumberFormat="1" applyFill="1" applyBorder="1"/>
    <xf numFmtId="2" fontId="0" fillId="0" borderId="3" xfId="0" applyNumberFormat="1" applyFill="1" applyBorder="1"/>
    <xf numFmtId="2" fontId="0" fillId="0" borderId="17" xfId="0" applyNumberFormat="1" applyBorder="1"/>
    <xf numFmtId="2" fontId="0" fillId="0" borderId="14" xfId="0" applyNumberFormat="1" applyBorder="1"/>
    <xf numFmtId="2" fontId="0" fillId="0" borderId="15" xfId="0" applyNumberFormat="1" applyBorder="1"/>
    <xf numFmtId="2" fontId="0" fillId="0" borderId="16" xfId="0" applyNumberFormat="1" applyBorder="1"/>
    <xf numFmtId="2" fontId="0" fillId="0" borderId="0" xfId="0" applyNumberFormat="1" applyFill="1" applyBorder="1"/>
    <xf numFmtId="2" fontId="0" fillId="0" borderId="12" xfId="0" applyNumberFormat="1" applyBorder="1"/>
    <xf numFmtId="2" fontId="0" fillId="0" borderId="10" xfId="0" applyNumberFormat="1" applyBorder="1"/>
    <xf numFmtId="169" fontId="0" fillId="0" borderId="0" xfId="0" applyNumberFormat="1"/>
    <xf numFmtId="0" fontId="4" fillId="0" borderId="0" xfId="0" applyFont="1" applyAlignment="1">
      <alignment horizontal="left" vertical="top" wrapText="1"/>
    </xf>
    <xf numFmtId="0" fontId="4" fillId="0" borderId="0" xfId="0" applyFont="1" applyAlignment="1">
      <alignment horizontal="center" wrapText="1"/>
    </xf>
    <xf numFmtId="0" fontId="0" fillId="0" borderId="0" xfId="0" applyAlignment="1">
      <alignment horizontal="center" wrapText="1"/>
    </xf>
    <xf numFmtId="0" fontId="33" fillId="0" borderId="18" xfId="0" applyFont="1" applyBorder="1" applyAlignment="1">
      <alignment vertical="top"/>
    </xf>
    <xf numFmtId="0" fontId="33" fillId="0" borderId="20" xfId="0" applyFont="1" applyBorder="1" applyAlignment="1">
      <alignment vertical="top"/>
    </xf>
    <xf numFmtId="0" fontId="29" fillId="0" borderId="18" xfId="0" applyFont="1" applyBorder="1" applyAlignment="1">
      <alignment horizontal="center" vertical="center" wrapText="1"/>
    </xf>
    <xf numFmtId="0" fontId="29" fillId="0" borderId="20" xfId="0" applyFont="1" applyBorder="1" applyAlignment="1">
      <alignment horizontal="center" vertical="center" wrapText="1"/>
    </xf>
    <xf numFmtId="0" fontId="30" fillId="0" borderId="18" xfId="0" applyFont="1" applyBorder="1" applyAlignment="1">
      <alignment horizontal="center" vertical="center" wrapText="1"/>
    </xf>
    <xf numFmtId="0" fontId="30" fillId="0" borderId="20" xfId="0" applyFont="1" applyBorder="1" applyAlignment="1">
      <alignment horizontal="center" vertical="center" wrapText="1"/>
    </xf>
    <xf numFmtId="0" fontId="29" fillId="0" borderId="18" xfId="0" applyFont="1" applyBorder="1" applyAlignment="1">
      <alignment vertical="center" wrapText="1"/>
    </xf>
    <xf numFmtId="0" fontId="29" fillId="0" borderId="20" xfId="0" applyFont="1" applyBorder="1" applyAlignment="1">
      <alignmen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44" fillId="0" borderId="5" xfId="0" applyFont="1" applyBorder="1" applyAlignment="1">
      <alignment horizontal="center" vertical="center" textRotation="180"/>
    </xf>
    <xf numFmtId="0" fontId="44" fillId="0" borderId="9" xfId="0" applyFont="1" applyBorder="1" applyAlignment="1">
      <alignment horizontal="center" vertical="center" textRotation="180"/>
    </xf>
    <xf numFmtId="0" fontId="44" fillId="0" borderId="6" xfId="0" applyFont="1" applyBorder="1" applyAlignment="1">
      <alignment horizontal="center" vertical="center" textRotation="180"/>
    </xf>
    <xf numFmtId="0" fontId="1" fillId="15" borderId="26" xfId="0" applyFont="1" applyFill="1" applyBorder="1" applyAlignment="1">
      <alignment horizontal="center" vertical="top" wrapText="1"/>
    </xf>
    <xf numFmtId="0" fontId="1" fillId="15" borderId="24" xfId="0" applyFont="1" applyFill="1" applyBorder="1" applyAlignment="1">
      <alignment horizontal="center" vertical="top" wrapText="1"/>
    </xf>
    <xf numFmtId="0" fontId="1" fillId="11" borderId="26" xfId="0" applyFont="1" applyFill="1" applyBorder="1" applyAlignment="1">
      <alignment horizontal="center" vertical="top" wrapText="1"/>
    </xf>
    <xf numFmtId="0" fontId="1" fillId="11" borderId="24" xfId="0" applyFont="1" applyFill="1" applyBorder="1" applyAlignment="1">
      <alignment horizontal="center" vertical="top" wrapText="1"/>
    </xf>
    <xf numFmtId="0" fontId="1" fillId="17" borderId="26" xfId="0" applyFont="1" applyFill="1" applyBorder="1" applyAlignment="1">
      <alignment horizontal="center" vertical="top" wrapText="1"/>
    </xf>
    <xf numFmtId="0" fontId="1" fillId="17" borderId="24" xfId="0" applyFont="1" applyFill="1" applyBorder="1" applyAlignment="1">
      <alignment horizontal="center" vertical="top"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0" xfId="0" applyFont="1" applyAlignment="1">
      <alignment horizontal="left" vertical="top" wrapText="1"/>
    </xf>
    <xf numFmtId="0" fontId="3" fillId="0" borderId="0" xfId="0" applyFont="1" applyAlignment="1">
      <alignment horizontal="left" wrapText="1"/>
    </xf>
    <xf numFmtId="0" fontId="1" fillId="18" borderId="11" xfId="0" applyFont="1" applyFill="1" applyBorder="1" applyAlignment="1">
      <alignment horizontal="center"/>
    </xf>
    <xf numFmtId="0" fontId="1" fillId="18" borderId="13" xfId="0" applyFont="1" applyFill="1" applyBorder="1" applyAlignment="1">
      <alignment horizontal="center"/>
    </xf>
    <xf numFmtId="0" fontId="1" fillId="18" borderId="17" xfId="0" applyFont="1" applyFill="1" applyBorder="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1" fillId="0" borderId="17" xfId="0" applyFont="1" applyBorder="1" applyAlignment="1">
      <alignment horizontal="center"/>
    </xf>
  </cellXfs>
  <cellStyles count="4">
    <cellStyle name="Hyperkobling" xfId="3" builtinId="8"/>
    <cellStyle name="Komma" xfId="1" builtinId="3"/>
    <cellStyle name="Normal" xfId="0" builtinId="0"/>
    <cellStyle name="Prosent" xfId="2" builtinId="5"/>
  </cellStyles>
  <dxfs count="184">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nb-NO" sz="1400"/>
              <a:t>Etterisolering vegg</a:t>
            </a:r>
          </a:p>
        </c:rich>
      </c:tx>
      <c:layout/>
      <c:overlay val="0"/>
    </c:title>
    <c:autoTitleDeleted val="0"/>
    <c:plotArea>
      <c:layout>
        <c:manualLayout>
          <c:layoutTarget val="inner"/>
          <c:xMode val="edge"/>
          <c:yMode val="edge"/>
          <c:x val="0.11073907407407407"/>
          <c:y val="0.12764472222222223"/>
          <c:w val="0.84852464438852271"/>
          <c:h val="0.63485861111111108"/>
        </c:manualLayout>
      </c:layout>
      <c:stockChart>
        <c:ser>
          <c:idx val="0"/>
          <c:order val="0"/>
          <c:tx>
            <c:strRef>
              <c:f>'16 LCOE'!$C$29</c:f>
              <c:strCache>
                <c:ptCount val="1"/>
                <c:pt idx="0">
                  <c:v>Lav</c:v>
                </c:pt>
              </c:strCache>
            </c:strRef>
          </c:tx>
          <c:spPr>
            <a:ln w="28575">
              <a:noFill/>
            </a:ln>
          </c:spPr>
          <c:marker>
            <c:symbol val="dash"/>
            <c:size val="16"/>
            <c:spPr>
              <a:solidFill>
                <a:schemeClr val="tx2">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LCOE'!$D$29:$O$29</c:f>
              <c:numCache>
                <c:formatCode>#\ ##0.0;\-#\ ##0.0</c:formatCode>
                <c:ptCount val="12"/>
                <c:pt idx="0">
                  <c:v>0.78559489360083345</c:v>
                </c:pt>
                <c:pt idx="1">
                  <c:v>0.5917183092683822</c:v>
                </c:pt>
                <c:pt idx="2">
                  <c:v>0.52863072408373679</c:v>
                </c:pt>
                <c:pt idx="3">
                  <c:v>0.6429150171890301</c:v>
                </c:pt>
                <c:pt idx="4">
                  <c:v>0.66396345838459547</c:v>
                </c:pt>
                <c:pt idx="5">
                  <c:v>0.63061042355861807</c:v>
                </c:pt>
                <c:pt idx="6">
                  <c:v>0.60090081393807571</c:v>
                </c:pt>
                <c:pt idx="7">
                  <c:v>0.40597429469117857</c:v>
                </c:pt>
                <c:pt idx="8">
                  <c:v>0.4868994969420492</c:v>
                </c:pt>
                <c:pt idx="9">
                  <c:v>0.72524488781196317</c:v>
                </c:pt>
                <c:pt idx="10">
                  <c:v>0.60923379903120745</c:v>
                </c:pt>
                <c:pt idx="11">
                  <c:v>0.60702325368392562</c:v>
                </c:pt>
              </c:numCache>
            </c:numRef>
          </c:val>
          <c:smooth val="0"/>
        </c:ser>
        <c:ser>
          <c:idx val="2"/>
          <c:order val="1"/>
          <c:tx>
            <c:strRef>
              <c:f>'16 LCOE'!$C$30</c:f>
              <c:strCache>
                <c:ptCount val="1"/>
                <c:pt idx="0">
                  <c:v>Median</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LCOE'!$D$30:$O$30</c:f>
              <c:numCache>
                <c:formatCode>#\ ##0.0;\-#\ ##0.0</c:formatCode>
                <c:ptCount val="12"/>
                <c:pt idx="0">
                  <c:v>3.9848591402888078</c:v>
                </c:pt>
                <c:pt idx="1">
                  <c:v>2.5249295120553055</c:v>
                </c:pt>
                <c:pt idx="2">
                  <c:v>2.4489087633425095</c:v>
                </c:pt>
                <c:pt idx="3">
                  <c:v>1.9782429777162109</c:v>
                </c:pt>
                <c:pt idx="4">
                  <c:v>1.936270059346916</c:v>
                </c:pt>
                <c:pt idx="5">
                  <c:v>1.8910476949518602</c:v>
                </c:pt>
                <c:pt idx="6">
                  <c:v>1.7422596783439694</c:v>
                </c:pt>
                <c:pt idx="7">
                  <c:v>1.4604326506908307</c:v>
                </c:pt>
                <c:pt idx="8">
                  <c:v>1.4301085330477894</c:v>
                </c:pt>
                <c:pt idx="9">
                  <c:v>2.1357590913092928</c:v>
                </c:pt>
                <c:pt idx="10">
                  <c:v>1.7829878266688974</c:v>
                </c:pt>
                <c:pt idx="11">
                  <c:v>1.7745057252748946</c:v>
                </c:pt>
              </c:numCache>
            </c:numRef>
          </c:val>
          <c:smooth val="0"/>
        </c:ser>
        <c:dLbls>
          <c:showLegendKey val="0"/>
          <c:showVal val="0"/>
          <c:showCatName val="0"/>
          <c:showSerName val="0"/>
          <c:showPercent val="0"/>
          <c:showBubbleSize val="0"/>
        </c:dLbls>
        <c:hiLowLines>
          <c:spPr>
            <a:ln w="28575" cap="sq"/>
          </c:spPr>
        </c:hiLowLines>
        <c:axId val="668515880"/>
        <c:axId val="371687144"/>
      </c:stockChart>
      <c:catAx>
        <c:axId val="668515880"/>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371687144"/>
        <c:crosses val="autoZero"/>
        <c:auto val="1"/>
        <c:lblAlgn val="ctr"/>
        <c:lblOffset val="100"/>
        <c:noMultiLvlLbl val="0"/>
      </c:catAx>
      <c:valAx>
        <c:axId val="371687144"/>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0" sourceLinked="0"/>
        <c:majorTickMark val="none"/>
        <c:minorTickMark val="none"/>
        <c:tickLblPos val="nextTo"/>
        <c:txPr>
          <a:bodyPr/>
          <a:lstStyle/>
          <a:p>
            <a:pPr>
              <a:defRPr sz="1200"/>
            </a:pPr>
            <a:endParaRPr lang="nb-NO"/>
          </a:p>
        </c:txPr>
        <c:crossAx val="668515880"/>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SD-anlegg</a:t>
            </a:r>
            <a:r>
              <a:rPr lang="nb-NO" sz="1400" b="1" i="0" u="none" strike="noStrike" baseline="0"/>
              <a:t> </a:t>
            </a:r>
            <a:endParaRPr lang="nb-NO" sz="1400" b="1"/>
          </a:p>
        </c:rich>
      </c:tx>
      <c:layout/>
      <c:overlay val="0"/>
    </c:title>
    <c:autoTitleDeleted val="0"/>
    <c:plotArea>
      <c:layout>
        <c:manualLayout>
          <c:layoutTarget val="inner"/>
          <c:xMode val="edge"/>
          <c:yMode val="edge"/>
          <c:x val="0.11779462962962961"/>
          <c:y val="0.12411694444444445"/>
          <c:w val="0.84852464438852271"/>
          <c:h val="0.63838638888888888"/>
        </c:manualLayout>
      </c:layout>
      <c:stockChart>
        <c:ser>
          <c:idx val="0"/>
          <c:order val="0"/>
          <c:tx>
            <c:strRef>
              <c:f>'16 LCOE'!$C$267</c:f>
              <c:strCache>
                <c:ptCount val="1"/>
                <c:pt idx="0">
                  <c:v>Lav</c:v>
                </c:pt>
              </c:strCache>
            </c:strRef>
          </c:tx>
          <c:spPr>
            <a:ln w="28575">
              <a:noFill/>
            </a:ln>
          </c:spPr>
          <c:marker>
            <c:symbol val="dash"/>
            <c:size val="16"/>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LCOE'!$F$267:$O$267</c:f>
              <c:numCache>
                <c:formatCode>#\ ##0.0</c:formatCode>
                <c:ptCount val="10"/>
                <c:pt idx="0">
                  <c:v>0.32370012477218896</c:v>
                </c:pt>
                <c:pt idx="1">
                  <c:v>0.88640955091375551</c:v>
                </c:pt>
                <c:pt idx="2">
                  <c:v>0.58110646399103383</c:v>
                </c:pt>
                <c:pt idx="3">
                  <c:v>0.60632978296226381</c:v>
                </c:pt>
                <c:pt idx="4">
                  <c:v>0.44772132642307205</c:v>
                </c:pt>
                <c:pt idx="5">
                  <c:v>0.54207692536477015</c:v>
                </c:pt>
                <c:pt idx="6">
                  <c:v>0.44618125306436862</c:v>
                </c:pt>
                <c:pt idx="7">
                  <c:v>0.31411914856328699</c:v>
                </c:pt>
                <c:pt idx="8">
                  <c:v>0.5404636011821371</c:v>
                </c:pt>
                <c:pt idx="9">
                  <c:v>0.50431595463234824</c:v>
                </c:pt>
              </c:numCache>
            </c:numRef>
          </c:val>
          <c:smooth val="0"/>
        </c:ser>
        <c:ser>
          <c:idx val="1"/>
          <c:order val="1"/>
          <c:tx>
            <c:strRef>
              <c:f>'16 LCOE'!$C$268</c:f>
              <c:strCache>
                <c:ptCount val="1"/>
                <c:pt idx="0">
                  <c:v>Median</c:v>
                </c:pt>
              </c:strCache>
            </c:strRef>
          </c:tx>
          <c:spPr>
            <a:ln w="28575">
              <a:noFill/>
            </a:ln>
          </c:spPr>
          <c:marker>
            <c:symbol val="dash"/>
            <c:size val="16"/>
            <c:spPr>
              <a:solidFill>
                <a:schemeClr val="accent6"/>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LCOE'!$F$268:$O$268</c:f>
              <c:numCache>
                <c:formatCode>#\ ##0.0</c:formatCode>
                <c:ptCount val="10"/>
                <c:pt idx="0">
                  <c:v>2.8166513226622705</c:v>
                </c:pt>
                <c:pt idx="1">
                  <c:v>5.8017817890478609</c:v>
                </c:pt>
                <c:pt idx="2">
                  <c:v>4.3517708236972075</c:v>
                </c:pt>
                <c:pt idx="3">
                  <c:v>3.9405953706444419</c:v>
                </c:pt>
                <c:pt idx="4">
                  <c:v>2.6369182477811908</c:v>
                </c:pt>
                <c:pt idx="5">
                  <c:v>3.7212247950245501</c:v>
                </c:pt>
                <c:pt idx="6">
                  <c:v>2.8063737797377675</c:v>
                </c:pt>
                <c:pt idx="7">
                  <c:v>2.2319725912936592</c:v>
                </c:pt>
                <c:pt idx="8">
                  <c:v>3.2769161503253783</c:v>
                </c:pt>
                <c:pt idx="9">
                  <c:v>3.3850861980060221</c:v>
                </c:pt>
              </c:numCache>
            </c:numRef>
          </c:val>
          <c:smooth val="0"/>
        </c:ser>
        <c:ser>
          <c:idx val="2"/>
          <c:order val="2"/>
          <c:tx>
            <c:strRef>
              <c:f>'16 LCOE'!$C$269</c:f>
              <c:strCache>
                <c:ptCount val="1"/>
                <c:pt idx="0">
                  <c:v>Høy</c:v>
                </c:pt>
              </c:strCache>
            </c:strRef>
          </c:tx>
          <c:spPr>
            <a:ln w="28575">
              <a:noFill/>
            </a:ln>
          </c:spPr>
          <c:marker>
            <c:symbol val="dash"/>
            <c:size val="15"/>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LCOE'!$F$269:$O$269</c:f>
              <c:numCache>
                <c:formatCode>#\ ##0.0</c:formatCode>
                <c:ptCount val="10"/>
                <c:pt idx="0">
                  <c:v>15.883011953107699</c:v>
                </c:pt>
                <c:pt idx="1">
                  <c:v>42.974727123123323</c:v>
                </c:pt>
                <c:pt idx="2">
                  <c:v>26.969668811465063</c:v>
                </c:pt>
                <c:pt idx="3">
                  <c:v>27.542331142143283</c:v>
                </c:pt>
                <c:pt idx="4">
                  <c:v>17.324449681728776</c:v>
                </c:pt>
                <c:pt idx="5">
                  <c:v>20.732538143708204</c:v>
                </c:pt>
                <c:pt idx="6">
                  <c:v>16.731796989913821</c:v>
                </c:pt>
                <c:pt idx="7">
                  <c:v>15.941106364055424</c:v>
                </c:pt>
                <c:pt idx="8">
                  <c:v>22.831189651485243</c:v>
                </c:pt>
                <c:pt idx="9">
                  <c:v>19.839304806685877</c:v>
                </c:pt>
              </c:numCache>
            </c:numRef>
          </c:val>
          <c:smooth val="0"/>
        </c:ser>
        <c:dLbls>
          <c:showLegendKey val="0"/>
          <c:showVal val="0"/>
          <c:showCatName val="0"/>
          <c:showSerName val="0"/>
          <c:showPercent val="0"/>
          <c:showBubbleSize val="0"/>
        </c:dLbls>
        <c:hiLowLines>
          <c:spPr>
            <a:ln w="28575" cap="sq"/>
          </c:spPr>
        </c:hiLowLines>
        <c:axId val="433493200"/>
        <c:axId val="433493592"/>
      </c:stockChart>
      <c:catAx>
        <c:axId val="433493200"/>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433493592"/>
        <c:crosses val="autoZero"/>
        <c:auto val="1"/>
        <c:lblAlgn val="ctr"/>
        <c:lblOffset val="100"/>
        <c:noMultiLvlLbl val="0"/>
      </c:catAx>
      <c:valAx>
        <c:axId val="433493592"/>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433493200"/>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Behovsstyring ventilasjon (DCV)</a:t>
            </a:r>
            <a:r>
              <a:rPr lang="nb-NO" sz="1400" b="1" i="0" u="none" strike="noStrike" baseline="0"/>
              <a:t> </a:t>
            </a:r>
            <a:endParaRPr lang="nb-NO" sz="1400" b="1"/>
          </a:p>
        </c:rich>
      </c:tx>
      <c:layout/>
      <c:overlay val="0"/>
    </c:title>
    <c:autoTitleDeleted val="0"/>
    <c:plotArea>
      <c:layout>
        <c:manualLayout>
          <c:layoutTarget val="inner"/>
          <c:xMode val="edge"/>
          <c:yMode val="edge"/>
          <c:x val="0.14134240740740742"/>
          <c:y val="0.12870666666666669"/>
          <c:w val="0.82265425925925928"/>
          <c:h val="0.63379666666666667"/>
        </c:manualLayout>
      </c:layout>
      <c:stockChart>
        <c:ser>
          <c:idx val="0"/>
          <c:order val="0"/>
          <c:tx>
            <c:strRef>
              <c:f>'16 LCOE'!$C$152</c:f>
              <c:strCache>
                <c:ptCount val="1"/>
                <c:pt idx="0">
                  <c:v>Lav</c:v>
                </c:pt>
              </c:strCache>
            </c:strRef>
          </c:tx>
          <c:spPr>
            <a:ln w="28575">
              <a:noFill/>
            </a:ln>
          </c:spPr>
          <c:marker>
            <c:symbol val="dash"/>
            <c:size val="16"/>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LCOE'!$F$152:$O$152</c:f>
              <c:numCache>
                <c:formatCode>#\ ##0.0</c:formatCode>
                <c:ptCount val="10"/>
                <c:pt idx="0">
                  <c:v>0.61879847668784516</c:v>
                </c:pt>
                <c:pt idx="1">
                  <c:v>0.74345933485554205</c:v>
                </c:pt>
                <c:pt idx="2">
                  <c:v>0.4207489642314331</c:v>
                </c:pt>
                <c:pt idx="3">
                  <c:v>0.29951621182576604</c:v>
                </c:pt>
                <c:pt idx="4">
                  <c:v>0.22885926924722313</c:v>
                </c:pt>
                <c:pt idx="5">
                  <c:v>0.26068531571104958</c:v>
                </c:pt>
                <c:pt idx="6">
                  <c:v>0.26565936336555379</c:v>
                </c:pt>
                <c:pt idx="7">
                  <c:v>0.43967260185715307</c:v>
                </c:pt>
                <c:pt idx="8">
                  <c:v>0.12906119914065306</c:v>
                </c:pt>
                <c:pt idx="9">
                  <c:v>0.31469717050734619</c:v>
                </c:pt>
              </c:numCache>
            </c:numRef>
          </c:val>
          <c:smooth val="0"/>
        </c:ser>
        <c:ser>
          <c:idx val="1"/>
          <c:order val="1"/>
          <c:tx>
            <c:strRef>
              <c:f>'16 LCOE'!$C$153</c:f>
              <c:strCache>
                <c:ptCount val="1"/>
                <c:pt idx="0">
                  <c:v>Median</c:v>
                </c:pt>
              </c:strCache>
            </c:strRef>
          </c:tx>
          <c:spPr>
            <a:ln w="28575">
              <a:noFill/>
            </a:ln>
          </c:spPr>
          <c:marker>
            <c:symbol val="dash"/>
            <c:size val="16"/>
            <c:spPr>
              <a:solidFill>
                <a:schemeClr val="accent6"/>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LCOE'!$F$153:$O$153</c:f>
              <c:numCache>
                <c:formatCode>#\ ##0.0</c:formatCode>
                <c:ptCount val="10"/>
                <c:pt idx="0">
                  <c:v>1.0939473070017265</c:v>
                </c:pt>
                <c:pt idx="1">
                  <c:v>1.2317905333531498</c:v>
                </c:pt>
                <c:pt idx="2">
                  <c:v>0.71790292021988267</c:v>
                </c:pt>
                <c:pt idx="3">
                  <c:v>0.48878496695821833</c:v>
                </c:pt>
                <c:pt idx="4">
                  <c:v>0.33030759808822813</c:v>
                </c:pt>
                <c:pt idx="5">
                  <c:v>0.43141583938096228</c:v>
                </c:pt>
                <c:pt idx="6">
                  <c:v>0.37893432489956708</c:v>
                </c:pt>
                <c:pt idx="7">
                  <c:v>0.71372096146131969</c:v>
                </c:pt>
                <c:pt idx="8">
                  <c:v>0.1979710745884633</c:v>
                </c:pt>
                <c:pt idx="9">
                  <c:v>0.46409885751588409</c:v>
                </c:pt>
              </c:numCache>
            </c:numRef>
          </c:val>
          <c:smooth val="0"/>
        </c:ser>
        <c:ser>
          <c:idx val="2"/>
          <c:order val="2"/>
          <c:tx>
            <c:strRef>
              <c:f>'16 LCOE'!$C$154</c:f>
              <c:strCache>
                <c:ptCount val="1"/>
                <c:pt idx="0">
                  <c:v>Høy</c:v>
                </c:pt>
              </c:strCache>
            </c:strRef>
          </c:tx>
          <c:spPr>
            <a:ln w="28575">
              <a:noFill/>
            </a:ln>
          </c:spPr>
          <c:marker>
            <c:symbol val="dash"/>
            <c:size val="15"/>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LCOE'!$F$154:$O$154</c:f>
              <c:numCache>
                <c:formatCode>#\ ##0.0</c:formatCode>
                <c:ptCount val="10"/>
                <c:pt idx="0">
                  <c:v>1.8886805679776855</c:v>
                </c:pt>
                <c:pt idx="1">
                  <c:v>2.7149783164679189</c:v>
                </c:pt>
                <c:pt idx="2">
                  <c:v>1.2891263948696596</c:v>
                </c:pt>
                <c:pt idx="3">
                  <c:v>1.0729854424364234</c:v>
                </c:pt>
                <c:pt idx="4">
                  <c:v>0.67414811469858082</c:v>
                </c:pt>
                <c:pt idx="5">
                  <c:v>0.70895576216372957</c:v>
                </c:pt>
                <c:pt idx="6">
                  <c:v>0.77696940438756756</c:v>
                </c:pt>
                <c:pt idx="7">
                  <c:v>1.309140229310559</c:v>
                </c:pt>
                <c:pt idx="8">
                  <c:v>0.43243093547362355</c:v>
                </c:pt>
                <c:pt idx="9">
                  <c:v>0.9381600465281823</c:v>
                </c:pt>
              </c:numCache>
            </c:numRef>
          </c:val>
          <c:smooth val="0"/>
        </c:ser>
        <c:dLbls>
          <c:showLegendKey val="0"/>
          <c:showVal val="0"/>
          <c:showCatName val="0"/>
          <c:showSerName val="0"/>
          <c:showPercent val="0"/>
          <c:showBubbleSize val="0"/>
        </c:dLbls>
        <c:hiLowLines>
          <c:spPr>
            <a:ln w="28575" cap="sq"/>
          </c:spPr>
        </c:hiLowLines>
        <c:axId val="433489280"/>
        <c:axId val="433493984"/>
      </c:stockChart>
      <c:catAx>
        <c:axId val="433489280"/>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433493984"/>
        <c:crosses val="autoZero"/>
        <c:auto val="1"/>
        <c:lblAlgn val="ctr"/>
        <c:lblOffset val="100"/>
        <c:noMultiLvlLbl val="0"/>
      </c:catAx>
      <c:valAx>
        <c:axId val="433493984"/>
        <c:scaling>
          <c:orientation val="minMax"/>
        </c:scaling>
        <c:delete val="0"/>
        <c:axPos val="l"/>
        <c:majorGridlines/>
        <c:title>
          <c:tx>
            <c:rich>
              <a:bodyPr rot="-5400000" vert="horz"/>
              <a:lstStyle/>
              <a:p>
                <a:pPr>
                  <a:defRPr sz="1200" b="1"/>
                </a:pPr>
                <a:r>
                  <a:rPr lang="nb-NO" sz="1200" b="1"/>
                  <a:t>LCOE [kr/kWh]</a:t>
                </a:r>
              </a:p>
            </c:rich>
          </c:tx>
          <c:layout>
            <c:manualLayout>
              <c:xMode val="edge"/>
              <c:yMode val="edge"/>
              <c:x val="9.3140706436850226E-3"/>
              <c:y val="0.36610563664487611"/>
            </c:manualLayout>
          </c:layout>
          <c:overlay val="0"/>
        </c:title>
        <c:numFmt formatCode="#,##0.0" sourceLinked="0"/>
        <c:majorTickMark val="none"/>
        <c:minorTickMark val="none"/>
        <c:tickLblPos val="nextTo"/>
        <c:txPr>
          <a:bodyPr/>
          <a:lstStyle/>
          <a:p>
            <a:pPr>
              <a:defRPr sz="1200"/>
            </a:pPr>
            <a:endParaRPr lang="nb-NO"/>
          </a:p>
        </c:txPr>
        <c:crossAx val="433489280"/>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Natt- og helgesenkning</a:t>
            </a:r>
            <a:r>
              <a:rPr lang="nb-NO" sz="1400" b="1" i="0" u="none" strike="noStrike" baseline="0"/>
              <a:t> </a:t>
            </a:r>
            <a:endParaRPr lang="nb-NO" sz="1400" b="1"/>
          </a:p>
        </c:rich>
      </c:tx>
      <c:layout/>
      <c:overlay val="0"/>
    </c:title>
    <c:autoTitleDeleted val="0"/>
    <c:plotArea>
      <c:layout>
        <c:manualLayout>
          <c:layoutTarget val="inner"/>
          <c:xMode val="edge"/>
          <c:yMode val="edge"/>
          <c:x val="0.10838722222222222"/>
          <c:y val="0.1170613888888889"/>
          <c:w val="0.84852464438852271"/>
          <c:h val="0.64544194444444447"/>
        </c:manualLayout>
      </c:layout>
      <c:stockChart>
        <c:ser>
          <c:idx val="0"/>
          <c:order val="0"/>
          <c:tx>
            <c:strRef>
              <c:f>'16 LCOE'!$C$171</c:f>
              <c:strCache>
                <c:ptCount val="1"/>
                <c:pt idx="0">
                  <c:v>Lav</c:v>
                </c:pt>
              </c:strCache>
            </c:strRef>
          </c:tx>
          <c:spPr>
            <a:ln w="28575">
              <a:noFill/>
            </a:ln>
          </c:spPr>
          <c:marker>
            <c:symbol val="dash"/>
            <c:size val="16"/>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LCOE'!$D$171:$O$171</c:f>
              <c:numCache>
                <c:formatCode>#\ ##0.0</c:formatCode>
                <c:ptCount val="12"/>
                <c:pt idx="0">
                  <c:v>0.18471450231989933</c:v>
                </c:pt>
                <c:pt idx="1">
                  <c:v>0.29874929369293424</c:v>
                </c:pt>
                <c:pt idx="2">
                  <c:v>0.33391951477583187</c:v>
                </c:pt>
                <c:pt idx="3">
                  <c:v>0.61571500773299637</c:v>
                </c:pt>
                <c:pt idx="4">
                  <c:v>0.20358318804074918</c:v>
                </c:pt>
                <c:pt idx="5">
                  <c:v>0.29699194490650477</c:v>
                </c:pt>
                <c:pt idx="6">
                  <c:v>0.33659087089403877</c:v>
                </c:pt>
                <c:pt idx="7">
                  <c:v>0.3824896260159551</c:v>
                </c:pt>
                <c:pt idx="8">
                  <c:v>0.45079134494737616</c:v>
                </c:pt>
                <c:pt idx="9">
                  <c:v>0.13286481745817319</c:v>
                </c:pt>
                <c:pt idx="10">
                  <c:v>0.31555394146316135</c:v>
                </c:pt>
                <c:pt idx="11">
                  <c:v>0.2381539180854049</c:v>
                </c:pt>
              </c:numCache>
            </c:numRef>
          </c:val>
          <c:smooth val="0"/>
        </c:ser>
        <c:ser>
          <c:idx val="1"/>
          <c:order val="1"/>
          <c:tx>
            <c:strRef>
              <c:f>'16 LCOE'!$C$172</c:f>
              <c:strCache>
                <c:ptCount val="1"/>
                <c:pt idx="0">
                  <c:v>Median</c:v>
                </c:pt>
              </c:strCache>
            </c:strRef>
          </c:tx>
          <c:spPr>
            <a:ln w="28575">
              <a:noFill/>
            </a:ln>
          </c:spPr>
          <c:marker>
            <c:symbol val="dash"/>
            <c:size val="16"/>
            <c:spPr>
              <a:solidFill>
                <a:schemeClr val="accent6"/>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LCOE'!$D$172:$O$172</c:f>
              <c:numCache>
                <c:formatCode>#\ ##0.0</c:formatCode>
                <c:ptCount val="12"/>
                <c:pt idx="0">
                  <c:v>1.166754069275554</c:v>
                </c:pt>
                <c:pt idx="1">
                  <c:v>1.7694613539990325</c:v>
                </c:pt>
                <c:pt idx="2">
                  <c:v>0.70123098102924719</c:v>
                </c:pt>
                <c:pt idx="3">
                  <c:v>0.8586501808521404</c:v>
                </c:pt>
                <c:pt idx="4">
                  <c:v>0.57504135118571575</c:v>
                </c:pt>
                <c:pt idx="5">
                  <c:v>0.84712467506888922</c:v>
                </c:pt>
                <c:pt idx="6">
                  <c:v>1.4676927509914539</c:v>
                </c:pt>
                <c:pt idx="7">
                  <c:v>1.3333265132246213</c:v>
                </c:pt>
                <c:pt idx="8">
                  <c:v>1.362103344445303</c:v>
                </c:pt>
                <c:pt idx="9">
                  <c:v>0.18453446869190729</c:v>
                </c:pt>
                <c:pt idx="10">
                  <c:v>1.0097726126821163</c:v>
                </c:pt>
                <c:pt idx="11">
                  <c:v>0.51170909426458588</c:v>
                </c:pt>
              </c:numCache>
            </c:numRef>
          </c:val>
          <c:smooth val="0"/>
        </c:ser>
        <c:ser>
          <c:idx val="2"/>
          <c:order val="2"/>
          <c:tx>
            <c:strRef>
              <c:f>'16 LCOE'!$C$173</c:f>
              <c:strCache>
                <c:ptCount val="1"/>
                <c:pt idx="0">
                  <c:v>Høy</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LCOE'!$D$173:$O$173</c:f>
              <c:numCache>
                <c:formatCode>#\ ##0.0</c:formatCode>
                <c:ptCount val="12"/>
                <c:pt idx="0">
                  <c:v>2.9699194490650478</c:v>
                </c:pt>
                <c:pt idx="1">
                  <c:v>4.1520255455679154</c:v>
                </c:pt>
                <c:pt idx="2">
                  <c:v>1.4884619880337766</c:v>
                </c:pt>
                <c:pt idx="3">
                  <c:v>3.5807539456812578</c:v>
                </c:pt>
                <c:pt idx="4">
                  <c:v>2.6999267718773181</c:v>
                </c:pt>
                <c:pt idx="5">
                  <c:v>3.5061549051462291</c:v>
                </c:pt>
                <c:pt idx="6">
                  <c:v>4.6748732068616201</c:v>
                </c:pt>
                <c:pt idx="7">
                  <c:v>4.1520255455679314</c:v>
                </c:pt>
                <c:pt idx="8">
                  <c:v>3.9943536894071174</c:v>
                </c:pt>
                <c:pt idx="9">
                  <c:v>0.7888848536579034</c:v>
                </c:pt>
                <c:pt idx="10">
                  <c:v>3.7678082562765436</c:v>
                </c:pt>
                <c:pt idx="11">
                  <c:v>1.8895445596596501</c:v>
                </c:pt>
              </c:numCache>
            </c:numRef>
          </c:val>
          <c:smooth val="0"/>
        </c:ser>
        <c:dLbls>
          <c:showLegendKey val="0"/>
          <c:showVal val="0"/>
          <c:showCatName val="0"/>
          <c:showSerName val="0"/>
          <c:showPercent val="0"/>
          <c:showBubbleSize val="0"/>
        </c:dLbls>
        <c:hiLowLines>
          <c:spPr>
            <a:ln w="28575" cap="sq"/>
          </c:spPr>
        </c:hiLowLines>
        <c:axId val="433495552"/>
        <c:axId val="433494768"/>
      </c:stockChart>
      <c:catAx>
        <c:axId val="433495552"/>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433494768"/>
        <c:crosses val="autoZero"/>
        <c:auto val="1"/>
        <c:lblAlgn val="ctr"/>
        <c:lblOffset val="100"/>
        <c:noMultiLvlLbl val="0"/>
      </c:catAx>
      <c:valAx>
        <c:axId val="433494768"/>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0" sourceLinked="0"/>
        <c:majorTickMark val="none"/>
        <c:minorTickMark val="none"/>
        <c:tickLblPos val="nextTo"/>
        <c:txPr>
          <a:bodyPr/>
          <a:lstStyle/>
          <a:p>
            <a:pPr>
              <a:defRPr sz="1200"/>
            </a:pPr>
            <a:endParaRPr lang="nb-NO"/>
          </a:p>
        </c:txPr>
        <c:crossAx val="433495552"/>
        <c:crosses val="autoZero"/>
        <c:crossBetween val="between"/>
        <c:majorUnit val="0.5"/>
      </c:valAx>
      <c:spPr>
        <a:noFill/>
        <a:effectLst/>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Småhus</a:t>
            </a:r>
            <a:endParaRPr lang="nb-NO" sz="2000" b="1"/>
          </a:p>
        </c:rich>
      </c:tx>
      <c:layout/>
      <c:overlay val="0"/>
    </c:title>
    <c:autoTitleDeleted val="0"/>
    <c:plotArea>
      <c:layout>
        <c:manualLayout>
          <c:layoutTarget val="inner"/>
          <c:xMode val="edge"/>
          <c:yMode val="edge"/>
          <c:x val="9.6627986194393306E-2"/>
          <c:y val="0.15233917739954395"/>
          <c:w val="0.84852464438852271"/>
          <c:h val="0.53588628376564507"/>
        </c:manualLayout>
      </c:layout>
      <c:stockChart>
        <c:ser>
          <c:idx val="0"/>
          <c:order val="0"/>
          <c:tx>
            <c:strRef>
              <c:f>'16 LCOE'!$C$273</c:f>
              <c:strCache>
                <c:ptCount val="1"/>
                <c:pt idx="0">
                  <c:v>Lav</c:v>
                </c:pt>
              </c:strCache>
            </c:strRef>
          </c:tx>
          <c:spPr>
            <a:ln w="28575">
              <a:noFill/>
            </a:ln>
          </c:spPr>
          <c:marker>
            <c:symbol val="dash"/>
            <c:size val="16"/>
            <c:spPr>
              <a:solidFill>
                <a:schemeClr val="bg1">
                  <a:lumMod val="75000"/>
                </a:schemeClr>
              </a:solidFill>
              <a:ln>
                <a:noFill/>
              </a:ln>
            </c:spPr>
          </c:marker>
          <c:cat>
            <c:strRef>
              <c:f>'16 LCOE'!$D$272:$J$272</c:f>
              <c:strCache>
                <c:ptCount val="7"/>
                <c:pt idx="0">
                  <c:v>Etterisolering vegg</c:v>
                </c:pt>
                <c:pt idx="1">
                  <c:v>Etterisolering tak</c:v>
                </c:pt>
                <c:pt idx="2">
                  <c:v>Etterisolering gulv</c:v>
                </c:pt>
                <c:pt idx="3">
                  <c:v>Skifte vinduer og dører</c:v>
                </c:pt>
                <c:pt idx="4">
                  <c:v>Varmegjenvinning ventilasjon</c:v>
                </c:pt>
                <c:pt idx="5">
                  <c:v>Natt- og helgesenkning</c:v>
                </c:pt>
                <c:pt idx="6">
                  <c:v>Energioppfølgingssystem (EOS)</c:v>
                </c:pt>
              </c:strCache>
            </c:strRef>
          </c:cat>
          <c:val>
            <c:numRef>
              <c:f>'16 LCOE'!$D$273:$J$273</c:f>
              <c:numCache>
                <c:formatCode>#\ ##0.0</c:formatCode>
                <c:ptCount val="7"/>
                <c:pt idx="0" formatCode="#\ ##0.0;\-#\ ##0.0">
                  <c:v>0.78559489360083345</c:v>
                </c:pt>
                <c:pt idx="1">
                  <c:v>0.76401424433608867</c:v>
                </c:pt>
                <c:pt idx="2">
                  <c:v>1.5374607632936095</c:v>
                </c:pt>
                <c:pt idx="3">
                  <c:v>1.8963038124486491</c:v>
                </c:pt>
                <c:pt idx="4">
                  <c:v>2.5666325401241261</c:v>
                </c:pt>
                <c:pt idx="5">
                  <c:v>0.18471450231989933</c:v>
                </c:pt>
                <c:pt idx="6">
                  <c:v>0</c:v>
                </c:pt>
              </c:numCache>
            </c:numRef>
          </c:val>
          <c:smooth val="0"/>
        </c:ser>
        <c:ser>
          <c:idx val="2"/>
          <c:order val="1"/>
          <c:tx>
            <c:strRef>
              <c:f>'16 LCOE'!$C$275</c:f>
              <c:strCache>
                <c:ptCount val="1"/>
                <c:pt idx="0">
                  <c:v>Høy</c:v>
                </c:pt>
              </c:strCache>
            </c:strRef>
          </c:tx>
          <c:spPr>
            <a:ln w="28575">
              <a:noFill/>
            </a:ln>
          </c:spPr>
          <c:marker>
            <c:symbol val="dash"/>
            <c:size val="15"/>
            <c:spPr>
              <a:solidFill>
                <a:schemeClr val="bg1">
                  <a:lumMod val="75000"/>
                </a:schemeClr>
              </a:solidFill>
              <a:ln>
                <a:noFill/>
              </a:ln>
            </c:spPr>
          </c:marker>
          <c:cat>
            <c:strRef>
              <c:f>'16 LCOE'!$D$272:$J$272</c:f>
              <c:strCache>
                <c:ptCount val="7"/>
                <c:pt idx="0">
                  <c:v>Etterisolering vegg</c:v>
                </c:pt>
                <c:pt idx="1">
                  <c:v>Etterisolering tak</c:v>
                </c:pt>
                <c:pt idx="2">
                  <c:v>Etterisolering gulv</c:v>
                </c:pt>
                <c:pt idx="3">
                  <c:v>Skifte vinduer og dører</c:v>
                </c:pt>
                <c:pt idx="4">
                  <c:v>Varmegjenvinning ventilasjon</c:v>
                </c:pt>
                <c:pt idx="5">
                  <c:v>Natt- og helgesenkning</c:v>
                </c:pt>
                <c:pt idx="6">
                  <c:v>Energioppfølgingssystem (EOS)</c:v>
                </c:pt>
              </c:strCache>
            </c:strRef>
          </c:cat>
          <c:val>
            <c:numRef>
              <c:f>'16 LCOE'!$D$275:$J$275</c:f>
              <c:numCache>
                <c:formatCode>#\ ##0.0</c:formatCode>
                <c:ptCount val="7"/>
                <c:pt idx="0" formatCode="#\ ##0.0;\-#\ ##0.0">
                  <c:v>3.9848591402888078</c:v>
                </c:pt>
                <c:pt idx="1">
                  <c:v>1.3522998054384678</c:v>
                </c:pt>
                <c:pt idx="2">
                  <c:v>10.721976171197403</c:v>
                </c:pt>
                <c:pt idx="3">
                  <c:v>5.3556057065390181</c:v>
                </c:pt>
                <c:pt idx="4">
                  <c:v>4.4745416353804837</c:v>
                </c:pt>
                <c:pt idx="5">
                  <c:v>2.9699194490650478</c:v>
                </c:pt>
                <c:pt idx="6">
                  <c:v>2.4878609925922426</c:v>
                </c:pt>
              </c:numCache>
            </c:numRef>
          </c:val>
          <c:smooth val="0"/>
        </c:ser>
        <c:ser>
          <c:idx val="1"/>
          <c:order val="2"/>
          <c:tx>
            <c:strRef>
              <c:f>'16 LCOE'!$C$274</c:f>
              <c:strCache>
                <c:ptCount val="1"/>
                <c:pt idx="0">
                  <c:v>Median</c:v>
                </c:pt>
              </c:strCache>
            </c:strRef>
          </c:tx>
          <c:spPr>
            <a:ln w="28575">
              <a:noFill/>
            </a:ln>
          </c:spPr>
          <c:marker>
            <c:symbol val="dash"/>
            <c:size val="16"/>
            <c:spPr>
              <a:solidFill>
                <a:schemeClr val="accent6"/>
              </a:solidFill>
              <a:ln>
                <a:noFill/>
              </a:ln>
            </c:spPr>
          </c:marker>
          <c:cat>
            <c:strRef>
              <c:f>'16 LCOE'!$D$272:$J$272</c:f>
              <c:strCache>
                <c:ptCount val="7"/>
                <c:pt idx="0">
                  <c:v>Etterisolering vegg</c:v>
                </c:pt>
                <c:pt idx="1">
                  <c:v>Etterisolering tak</c:v>
                </c:pt>
                <c:pt idx="2">
                  <c:v>Etterisolering gulv</c:v>
                </c:pt>
                <c:pt idx="3">
                  <c:v>Skifte vinduer og dører</c:v>
                </c:pt>
                <c:pt idx="4">
                  <c:v>Varmegjenvinning ventilasjon</c:v>
                </c:pt>
                <c:pt idx="5">
                  <c:v>Natt- og helgesenkning</c:v>
                </c:pt>
                <c:pt idx="6">
                  <c:v>Energioppfølgingssystem (EOS)</c:v>
                </c:pt>
              </c:strCache>
            </c:strRef>
          </c:cat>
          <c:val>
            <c:numRef>
              <c:f>'16 LCOE'!$D$274:$J$274</c:f>
              <c:numCache>
                <c:formatCode>#\ ##0.0;\-#\ ##0.0</c:formatCode>
                <c:ptCount val="7"/>
                <c:pt idx="0">
                  <c:v>0.78559489360083345</c:v>
                </c:pt>
                <c:pt idx="1">
                  <c:v>0.76401424433608867</c:v>
                </c:pt>
                <c:pt idx="2">
                  <c:v>1.5374607632936095</c:v>
                </c:pt>
                <c:pt idx="3" formatCode="#\ ##0.0">
                  <c:v>2.7189394597265188</c:v>
                </c:pt>
                <c:pt idx="4" formatCode="#\ ##0.0">
                  <c:v>3.4136978691854249</c:v>
                </c:pt>
                <c:pt idx="5" formatCode="#\ ##0.0">
                  <c:v>1.166754069275554</c:v>
                </c:pt>
                <c:pt idx="6" formatCode="#\ ##0.0">
                  <c:v>0</c:v>
                </c:pt>
              </c:numCache>
            </c:numRef>
          </c:val>
          <c:smooth val="0"/>
        </c:ser>
        <c:dLbls>
          <c:showLegendKey val="0"/>
          <c:showVal val="0"/>
          <c:showCatName val="0"/>
          <c:showSerName val="0"/>
          <c:showPercent val="0"/>
          <c:showBubbleSize val="0"/>
        </c:dLbls>
        <c:hiLowLines>
          <c:spPr>
            <a:ln w="28575" cap="sq"/>
          </c:spPr>
        </c:hiLowLines>
        <c:axId val="433491240"/>
        <c:axId val="190131240"/>
      </c:stockChart>
      <c:catAx>
        <c:axId val="433491240"/>
        <c:scaling>
          <c:orientation val="minMax"/>
        </c:scaling>
        <c:delete val="0"/>
        <c:axPos val="b"/>
        <c:numFmt formatCode="General" sourceLinked="0"/>
        <c:majorTickMark val="out"/>
        <c:minorTickMark val="none"/>
        <c:tickLblPos val="low"/>
        <c:txPr>
          <a:bodyPr/>
          <a:lstStyle/>
          <a:p>
            <a:pPr>
              <a:defRPr sz="1200"/>
            </a:pPr>
            <a:endParaRPr lang="nb-NO"/>
          </a:p>
        </c:txPr>
        <c:crossAx val="190131240"/>
        <c:crosses val="autoZero"/>
        <c:auto val="1"/>
        <c:lblAlgn val="ctr"/>
        <c:lblOffset val="100"/>
        <c:noMultiLvlLbl val="0"/>
      </c:catAx>
      <c:valAx>
        <c:axId val="190131240"/>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433491240"/>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Boligblokk</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LCOE'!$C$277</c:f>
              <c:strCache>
                <c:ptCount val="1"/>
                <c:pt idx="0">
                  <c:v>Lav</c:v>
                </c:pt>
              </c:strCache>
            </c:strRef>
          </c:tx>
          <c:spPr>
            <a:ln w="28575">
              <a:noFill/>
            </a:ln>
          </c:spPr>
          <c:marker>
            <c:symbol val="dash"/>
            <c:size val="16"/>
            <c:spPr>
              <a:solidFill>
                <a:schemeClr val="bg1">
                  <a:lumMod val="75000"/>
                </a:schemeClr>
              </a:solidFill>
              <a:ln>
                <a:noFill/>
              </a:ln>
            </c:spPr>
          </c:marker>
          <c:cat>
            <c:strRef>
              <c:f>'16 LCOE'!$D$276:$J$276</c:f>
              <c:strCache>
                <c:ptCount val="7"/>
                <c:pt idx="0">
                  <c:v>Etterisolering vegg</c:v>
                </c:pt>
                <c:pt idx="1">
                  <c:v>Etterisolering tak</c:v>
                </c:pt>
                <c:pt idx="2">
                  <c:v>Etterisolering gulv</c:v>
                </c:pt>
                <c:pt idx="3">
                  <c:v>Skifte vinduer og dører</c:v>
                </c:pt>
                <c:pt idx="4">
                  <c:v>Varmegjenvinning ventilasjon</c:v>
                </c:pt>
                <c:pt idx="5">
                  <c:v>Natt- og helgesenkning</c:v>
                </c:pt>
                <c:pt idx="6">
                  <c:v>Energioppfølgingssystem (EOS)</c:v>
                </c:pt>
              </c:strCache>
            </c:strRef>
          </c:cat>
          <c:val>
            <c:numRef>
              <c:f>'16 LCOE'!$D$277:$J$277</c:f>
              <c:numCache>
                <c:formatCode>#\ ##0.0</c:formatCode>
                <c:ptCount val="7"/>
                <c:pt idx="0" formatCode="#\ ##0.0;\-#\ ##0.0">
                  <c:v>0.5917183092683822</c:v>
                </c:pt>
                <c:pt idx="1">
                  <c:v>0.93015790515152785</c:v>
                </c:pt>
                <c:pt idx="2">
                  <c:v>2.0731556178242871</c:v>
                </c:pt>
                <c:pt idx="3">
                  <c:v>2.4839356471270415</c:v>
                </c:pt>
                <c:pt idx="4">
                  <c:v>1.2534272166984721</c:v>
                </c:pt>
                <c:pt idx="5">
                  <c:v>0.29874929369293424</c:v>
                </c:pt>
                <c:pt idx="6">
                  <c:v>0.34880752664699394</c:v>
                </c:pt>
              </c:numCache>
            </c:numRef>
          </c:val>
          <c:smooth val="0"/>
        </c:ser>
        <c:ser>
          <c:idx val="1"/>
          <c:order val="1"/>
          <c:tx>
            <c:strRef>
              <c:f>'16 LCOE'!$C$278</c:f>
              <c:strCache>
                <c:ptCount val="1"/>
                <c:pt idx="0">
                  <c:v>Median</c:v>
                </c:pt>
              </c:strCache>
            </c:strRef>
          </c:tx>
          <c:spPr>
            <a:ln w="28575">
              <a:noFill/>
            </a:ln>
          </c:spPr>
          <c:marker>
            <c:symbol val="dash"/>
            <c:size val="16"/>
            <c:spPr>
              <a:solidFill>
                <a:schemeClr val="accent6"/>
              </a:solidFill>
              <a:ln>
                <a:noFill/>
              </a:ln>
            </c:spPr>
          </c:marker>
          <c:cat>
            <c:strRef>
              <c:f>'16 LCOE'!$D$276:$J$276</c:f>
              <c:strCache>
                <c:ptCount val="7"/>
                <c:pt idx="0">
                  <c:v>Etterisolering vegg</c:v>
                </c:pt>
                <c:pt idx="1">
                  <c:v>Etterisolering tak</c:v>
                </c:pt>
                <c:pt idx="2">
                  <c:v>Etterisolering gulv</c:v>
                </c:pt>
                <c:pt idx="3">
                  <c:v>Skifte vinduer og dører</c:v>
                </c:pt>
                <c:pt idx="4">
                  <c:v>Varmegjenvinning ventilasjon</c:v>
                </c:pt>
                <c:pt idx="5">
                  <c:v>Natt- og helgesenkning</c:v>
                </c:pt>
                <c:pt idx="6">
                  <c:v>Energioppfølgingssystem (EOS)</c:v>
                </c:pt>
              </c:strCache>
            </c:strRef>
          </c:cat>
          <c:val>
            <c:numRef>
              <c:f>'16 LCOE'!$D$278:$J$278</c:f>
              <c:numCache>
                <c:formatCode>#\ ##0.0;\-#\ ##0.0</c:formatCode>
                <c:ptCount val="7"/>
                <c:pt idx="0">
                  <c:v>0.5917183092683822</c:v>
                </c:pt>
                <c:pt idx="1">
                  <c:v>0.93015790515152785</c:v>
                </c:pt>
                <c:pt idx="2">
                  <c:v>2.0731556178242871</c:v>
                </c:pt>
                <c:pt idx="3" formatCode="#\ ##0.0">
                  <c:v>3.6860789990923259</c:v>
                </c:pt>
                <c:pt idx="4" formatCode="#\ ##0.0">
                  <c:v>1.5208478753188963</c:v>
                </c:pt>
                <c:pt idx="5" formatCode="#\ ##0.0">
                  <c:v>1.7694613539990325</c:v>
                </c:pt>
                <c:pt idx="6" formatCode="#\ ##0.0">
                  <c:v>0.46593862937852398</c:v>
                </c:pt>
              </c:numCache>
            </c:numRef>
          </c:val>
          <c:smooth val="0"/>
        </c:ser>
        <c:ser>
          <c:idx val="2"/>
          <c:order val="2"/>
          <c:tx>
            <c:strRef>
              <c:f>'16 LCOE'!$C$279</c:f>
              <c:strCache>
                <c:ptCount val="1"/>
                <c:pt idx="0">
                  <c:v>Høy</c:v>
                </c:pt>
              </c:strCache>
            </c:strRef>
          </c:tx>
          <c:spPr>
            <a:ln w="28575">
              <a:noFill/>
            </a:ln>
          </c:spPr>
          <c:marker>
            <c:symbol val="dash"/>
            <c:size val="15"/>
            <c:spPr>
              <a:solidFill>
                <a:schemeClr val="bg1">
                  <a:lumMod val="75000"/>
                </a:schemeClr>
              </a:solidFill>
              <a:ln>
                <a:noFill/>
              </a:ln>
            </c:spPr>
          </c:marker>
          <c:cat>
            <c:strRef>
              <c:f>'16 LCOE'!$D$276:$J$276</c:f>
              <c:strCache>
                <c:ptCount val="7"/>
                <c:pt idx="0">
                  <c:v>Etterisolering vegg</c:v>
                </c:pt>
                <c:pt idx="1">
                  <c:v>Etterisolering tak</c:v>
                </c:pt>
                <c:pt idx="2">
                  <c:v>Etterisolering gulv</c:v>
                </c:pt>
                <c:pt idx="3">
                  <c:v>Skifte vinduer og dører</c:v>
                </c:pt>
                <c:pt idx="4">
                  <c:v>Varmegjenvinning ventilasjon</c:v>
                </c:pt>
                <c:pt idx="5">
                  <c:v>Natt- og helgesenkning</c:v>
                </c:pt>
                <c:pt idx="6">
                  <c:v>Energioppfølgingssystem (EOS)</c:v>
                </c:pt>
              </c:strCache>
            </c:strRef>
          </c:cat>
          <c:val>
            <c:numRef>
              <c:f>'16 LCOE'!$D$279:$J$279</c:f>
              <c:numCache>
                <c:formatCode>#\ ##0.0</c:formatCode>
                <c:ptCount val="7"/>
                <c:pt idx="0" formatCode="#\ ##0.0;\-#\ ##0.0">
                  <c:v>2.5249295120553055</c:v>
                </c:pt>
                <c:pt idx="1">
                  <c:v>2.7904737154545831</c:v>
                </c:pt>
                <c:pt idx="2">
                  <c:v>10.759914625176108</c:v>
                </c:pt>
                <c:pt idx="3">
                  <c:v>7.0786118887738256</c:v>
                </c:pt>
                <c:pt idx="4">
                  <c:v>1.9848953865470478</c:v>
                </c:pt>
                <c:pt idx="5">
                  <c:v>4.1520255455679154</c:v>
                </c:pt>
                <c:pt idx="6">
                  <c:v>2.8062670850298543</c:v>
                </c:pt>
              </c:numCache>
            </c:numRef>
          </c:val>
          <c:smooth val="0"/>
        </c:ser>
        <c:dLbls>
          <c:showLegendKey val="0"/>
          <c:showVal val="0"/>
          <c:showCatName val="0"/>
          <c:showSerName val="0"/>
          <c:showPercent val="0"/>
          <c:showBubbleSize val="0"/>
        </c:dLbls>
        <c:hiLowLines>
          <c:spPr>
            <a:ln w="28575" cap="sq"/>
          </c:spPr>
        </c:hiLowLines>
        <c:axId val="190132416"/>
        <c:axId val="190132024"/>
      </c:stockChart>
      <c:catAx>
        <c:axId val="190132416"/>
        <c:scaling>
          <c:orientation val="minMax"/>
        </c:scaling>
        <c:delete val="0"/>
        <c:axPos val="b"/>
        <c:numFmt formatCode="General" sourceLinked="0"/>
        <c:majorTickMark val="out"/>
        <c:minorTickMark val="none"/>
        <c:tickLblPos val="low"/>
        <c:txPr>
          <a:bodyPr/>
          <a:lstStyle/>
          <a:p>
            <a:pPr>
              <a:defRPr sz="1200"/>
            </a:pPr>
            <a:endParaRPr lang="nb-NO"/>
          </a:p>
        </c:txPr>
        <c:crossAx val="190132024"/>
        <c:crosses val="autoZero"/>
        <c:auto val="1"/>
        <c:lblAlgn val="ctr"/>
        <c:lblOffset val="100"/>
        <c:noMultiLvlLbl val="0"/>
      </c:catAx>
      <c:valAx>
        <c:axId val="190132024"/>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90132416"/>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Barnehage</a:t>
            </a:r>
            <a:endParaRPr lang="nb-NO" sz="2000" b="1"/>
          </a:p>
        </c:rich>
      </c:tx>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LCOE'!$C$281</c:f>
              <c:strCache>
                <c:ptCount val="1"/>
                <c:pt idx="0">
                  <c:v>Lav</c:v>
                </c:pt>
              </c:strCache>
            </c:strRef>
          </c:tx>
          <c:spPr>
            <a:ln w="28575">
              <a:noFill/>
            </a:ln>
          </c:spPr>
          <c:marker>
            <c:symbol val="dash"/>
            <c:size val="16"/>
            <c:spPr>
              <a:solidFill>
                <a:schemeClr val="bg1">
                  <a:lumMod val="75000"/>
                </a:schemeClr>
              </a:solidFill>
              <a:ln>
                <a:noFill/>
              </a:ln>
            </c:spPr>
          </c:marker>
          <c:cat>
            <c:strRef>
              <c:f>'16 LCOE'!$D$280:$O$280</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LCOE'!$D$281:$O$281</c:f>
              <c:numCache>
                <c:formatCode>#\ ##0.0</c:formatCode>
                <c:ptCount val="12"/>
                <c:pt idx="0" formatCode="#\ ##0.0;\-#\ ##0.0">
                  <c:v>0.52863072408373679</c:v>
                </c:pt>
                <c:pt idx="1">
                  <c:v>1.1385132759054717</c:v>
                </c:pt>
                <c:pt idx="2">
                  <c:v>1.4745237729833447</c:v>
                </c:pt>
                <c:pt idx="3">
                  <c:v>2.1711706900949386</c:v>
                </c:pt>
                <c:pt idx="4">
                  <c:v>0.12064849817720615</c:v>
                </c:pt>
                <c:pt idx="5">
                  <c:v>0.2883144257911176</c:v>
                </c:pt>
                <c:pt idx="6">
                  <c:v>0.61879847668784516</c:v>
                </c:pt>
                <c:pt idx="7">
                  <c:v>0.33391951477583187</c:v>
                </c:pt>
                <c:pt idx="8">
                  <c:v>10.886439745990437</c:v>
                </c:pt>
                <c:pt idx="9">
                  <c:v>4.9586777965097584</c:v>
                </c:pt>
                <c:pt idx="10">
                  <c:v>7.3236788143791226E-2</c:v>
                </c:pt>
                <c:pt idx="11">
                  <c:v>0.32370012477218896</c:v>
                </c:pt>
              </c:numCache>
            </c:numRef>
          </c:val>
          <c:smooth val="0"/>
        </c:ser>
        <c:ser>
          <c:idx val="1"/>
          <c:order val="1"/>
          <c:tx>
            <c:strRef>
              <c:f>'16 LCOE'!$C$282</c:f>
              <c:strCache>
                <c:ptCount val="1"/>
                <c:pt idx="0">
                  <c:v>Median</c:v>
                </c:pt>
              </c:strCache>
            </c:strRef>
          </c:tx>
          <c:spPr>
            <a:ln w="28575">
              <a:noFill/>
            </a:ln>
          </c:spPr>
          <c:marker>
            <c:symbol val="dash"/>
            <c:size val="16"/>
            <c:spPr>
              <a:solidFill>
                <a:schemeClr val="accent6"/>
              </a:solidFill>
              <a:ln>
                <a:noFill/>
              </a:ln>
            </c:spPr>
          </c:marker>
          <c:cat>
            <c:strRef>
              <c:f>'16 LCOE'!$D$280:$O$280</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LCOE'!$D$282:$O$282</c:f>
              <c:numCache>
                <c:formatCode>#\ ##0.0;\-#\ ##0.0</c:formatCode>
                <c:ptCount val="12"/>
                <c:pt idx="0">
                  <c:v>0.52863072408373679</c:v>
                </c:pt>
                <c:pt idx="1">
                  <c:v>1.1385132759054717</c:v>
                </c:pt>
                <c:pt idx="2">
                  <c:v>1.4745237729833447</c:v>
                </c:pt>
                <c:pt idx="3" formatCode="#\ ##0.0">
                  <c:v>3.1504346321114145</c:v>
                </c:pt>
                <c:pt idx="4" formatCode="#\ ##0.0">
                  <c:v>0.65408645851119207</c:v>
                </c:pt>
                <c:pt idx="5" formatCode="#\ ##0.0">
                  <c:v>0.45480585476908553</c:v>
                </c:pt>
                <c:pt idx="6" formatCode="#\ ##0.0">
                  <c:v>1.0939473070017265</c:v>
                </c:pt>
                <c:pt idx="7" formatCode="#\ ##0.0">
                  <c:v>0.70123098102924719</c:v>
                </c:pt>
                <c:pt idx="8" formatCode="#\ ##0.0">
                  <c:v>12.239107041243512</c:v>
                </c:pt>
                <c:pt idx="9" formatCode="#\ ##0.0">
                  <c:v>3.9250321226554883</c:v>
                </c:pt>
                <c:pt idx="10" formatCode="#\ ##0.0">
                  <c:v>1.2936521118794959</c:v>
                </c:pt>
                <c:pt idx="11" formatCode="#\ ##0.0">
                  <c:v>2.8166513226622705</c:v>
                </c:pt>
              </c:numCache>
            </c:numRef>
          </c:val>
          <c:smooth val="0"/>
        </c:ser>
        <c:ser>
          <c:idx val="2"/>
          <c:order val="2"/>
          <c:tx>
            <c:strRef>
              <c:f>'16 LCOE'!$C$283</c:f>
              <c:strCache>
                <c:ptCount val="1"/>
                <c:pt idx="0">
                  <c:v>Høy</c:v>
                </c:pt>
              </c:strCache>
            </c:strRef>
          </c:tx>
          <c:spPr>
            <a:ln w="28575">
              <a:noFill/>
            </a:ln>
          </c:spPr>
          <c:marker>
            <c:symbol val="dash"/>
            <c:size val="15"/>
            <c:spPr>
              <a:solidFill>
                <a:schemeClr val="bg1">
                  <a:lumMod val="75000"/>
                </a:schemeClr>
              </a:solidFill>
              <a:ln>
                <a:noFill/>
              </a:ln>
            </c:spPr>
          </c:marker>
          <c:cat>
            <c:strRef>
              <c:f>'16 LCOE'!$D$280:$O$280</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LCOE'!$D$283:$O$283</c:f>
              <c:numCache>
                <c:formatCode>#\ ##0.0</c:formatCode>
                <c:ptCount val="12"/>
                <c:pt idx="0" formatCode="#\ ##0.0;\-#\ ##0.0">
                  <c:v>4.1589376296635949</c:v>
                </c:pt>
                <c:pt idx="1">
                  <c:v>8.2066746432545443</c:v>
                </c:pt>
                <c:pt idx="2">
                  <c:v>14.580615565298238</c:v>
                </c:pt>
                <c:pt idx="3">
                  <c:v>6.038940767610173</c:v>
                </c:pt>
                <c:pt idx="4">
                  <c:v>5.4895066670628792</c:v>
                </c:pt>
                <c:pt idx="5">
                  <c:v>6.8618833338285841</c:v>
                </c:pt>
                <c:pt idx="6">
                  <c:v>1.8886805679776855</c:v>
                </c:pt>
                <c:pt idx="7">
                  <c:v>1.4884619880337766</c:v>
                </c:pt>
                <c:pt idx="8">
                  <c:v>55.860309062511931</c:v>
                </c:pt>
                <c:pt idx="9">
                  <c:v>21.520441561738593</c:v>
                </c:pt>
                <c:pt idx="10">
                  <c:v>13.043912989519225</c:v>
                </c:pt>
                <c:pt idx="11">
                  <c:v>15.883011953107699</c:v>
                </c:pt>
              </c:numCache>
            </c:numRef>
          </c:val>
          <c:smooth val="0"/>
        </c:ser>
        <c:dLbls>
          <c:showLegendKey val="0"/>
          <c:showVal val="0"/>
          <c:showCatName val="0"/>
          <c:showSerName val="0"/>
          <c:showPercent val="0"/>
          <c:showBubbleSize val="0"/>
        </c:dLbls>
        <c:hiLowLines>
          <c:spPr>
            <a:ln w="28575" cap="sq"/>
          </c:spPr>
        </c:hiLowLines>
        <c:axId val="190128104"/>
        <c:axId val="190128496"/>
      </c:stockChart>
      <c:catAx>
        <c:axId val="190128104"/>
        <c:scaling>
          <c:orientation val="minMax"/>
        </c:scaling>
        <c:delete val="0"/>
        <c:axPos val="b"/>
        <c:numFmt formatCode="General" sourceLinked="0"/>
        <c:majorTickMark val="out"/>
        <c:minorTickMark val="none"/>
        <c:tickLblPos val="low"/>
        <c:txPr>
          <a:bodyPr/>
          <a:lstStyle/>
          <a:p>
            <a:pPr>
              <a:defRPr sz="1200"/>
            </a:pPr>
            <a:endParaRPr lang="nb-NO"/>
          </a:p>
        </c:txPr>
        <c:crossAx val="190128496"/>
        <c:crosses val="autoZero"/>
        <c:auto val="1"/>
        <c:lblAlgn val="ctr"/>
        <c:lblOffset val="100"/>
        <c:noMultiLvlLbl val="0"/>
      </c:catAx>
      <c:valAx>
        <c:axId val="190128496"/>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90128104"/>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Automatisk solskjerming</a:t>
            </a:r>
            <a:endParaRPr lang="nb-NO" sz="1400" b="1"/>
          </a:p>
        </c:rich>
      </c:tx>
      <c:layout/>
      <c:overlay val="0"/>
    </c:title>
    <c:autoTitleDeleted val="0"/>
    <c:plotArea>
      <c:layout>
        <c:manualLayout>
          <c:layoutTarget val="inner"/>
          <c:xMode val="edge"/>
          <c:yMode val="edge"/>
          <c:x val="9.6627962962962957E-2"/>
          <c:y val="0.12058916666666666"/>
          <c:w val="0.84852464438852271"/>
          <c:h val="0.60563083333333334"/>
        </c:manualLayout>
      </c:layout>
      <c:stockChart>
        <c:ser>
          <c:idx val="0"/>
          <c:order val="0"/>
          <c:tx>
            <c:strRef>
              <c:f>'16 LCOE'!$C$229</c:f>
              <c:strCache>
                <c:ptCount val="1"/>
                <c:pt idx="0">
                  <c:v>Lav</c:v>
                </c:pt>
              </c:strCache>
            </c:strRef>
          </c:tx>
          <c:spPr>
            <a:ln w="28575">
              <a:noFill/>
            </a:ln>
          </c:spPr>
          <c:marker>
            <c:symbol val="dash"/>
            <c:size val="16"/>
            <c:spPr>
              <a:solidFill>
                <a:schemeClr val="bg1">
                  <a:lumMod val="75000"/>
                </a:schemeClr>
              </a:solidFill>
              <a:ln>
                <a:noFill/>
              </a:ln>
            </c:spPr>
          </c:marker>
          <c:cat>
            <c:strRef>
              <c:f>'16 LCOE'!$J$213:$O$213</c:f>
              <c:strCache>
                <c:ptCount val="6"/>
                <c:pt idx="0">
                  <c:v>Kontor</c:v>
                </c:pt>
                <c:pt idx="1">
                  <c:v>Universitet og høgskole</c:v>
                </c:pt>
                <c:pt idx="2">
                  <c:v>Sykehus</c:v>
                </c:pt>
                <c:pt idx="3">
                  <c:v>Hotell</c:v>
                </c:pt>
                <c:pt idx="4">
                  <c:v>Forretning</c:v>
                </c:pt>
                <c:pt idx="5">
                  <c:v>Kulturbygg</c:v>
                </c:pt>
              </c:strCache>
            </c:strRef>
          </c:cat>
          <c:val>
            <c:numRef>
              <c:f>'16 LCOE'!$J$229:$O$229</c:f>
              <c:numCache>
                <c:formatCode>#\ ##0.0</c:formatCode>
                <c:ptCount val="6"/>
                <c:pt idx="0">
                  <c:v>0.25024224305199477</c:v>
                </c:pt>
                <c:pt idx="1">
                  <c:v>0.40256360838799171</c:v>
                </c:pt>
                <c:pt idx="2">
                  <c:v>1.3227089989891145</c:v>
                </c:pt>
                <c:pt idx="3">
                  <c:v>1.0683418837988998</c:v>
                </c:pt>
                <c:pt idx="4">
                  <c:v>0.40256360838799171</c:v>
                </c:pt>
                <c:pt idx="5">
                  <c:v>0.49601587462091806</c:v>
                </c:pt>
              </c:numCache>
            </c:numRef>
          </c:val>
          <c:smooth val="0"/>
        </c:ser>
        <c:ser>
          <c:idx val="1"/>
          <c:order val="1"/>
          <c:tx>
            <c:strRef>
              <c:f>'16 LCOE'!$C$230</c:f>
              <c:strCache>
                <c:ptCount val="1"/>
                <c:pt idx="0">
                  <c:v>Median</c:v>
                </c:pt>
              </c:strCache>
            </c:strRef>
          </c:tx>
          <c:spPr>
            <a:ln w="28575">
              <a:noFill/>
            </a:ln>
          </c:spPr>
          <c:marker>
            <c:symbol val="dash"/>
            <c:size val="16"/>
            <c:spPr>
              <a:solidFill>
                <a:schemeClr val="accent6"/>
              </a:solidFill>
              <a:ln>
                <a:noFill/>
              </a:ln>
            </c:spPr>
          </c:marker>
          <c:cat>
            <c:strRef>
              <c:f>'16 LCOE'!$J$213:$O$213</c:f>
              <c:strCache>
                <c:ptCount val="6"/>
                <c:pt idx="0">
                  <c:v>Kontor</c:v>
                </c:pt>
                <c:pt idx="1">
                  <c:v>Universitet og høgskole</c:v>
                </c:pt>
                <c:pt idx="2">
                  <c:v>Sykehus</c:v>
                </c:pt>
                <c:pt idx="3">
                  <c:v>Hotell</c:v>
                </c:pt>
                <c:pt idx="4">
                  <c:v>Forretning</c:v>
                </c:pt>
                <c:pt idx="5">
                  <c:v>Kulturbygg</c:v>
                </c:pt>
              </c:strCache>
            </c:strRef>
          </c:cat>
          <c:val>
            <c:numRef>
              <c:f>'16 LCOE'!$J$230:$O$230</c:f>
              <c:numCache>
                <c:formatCode>#\ ##0.0</c:formatCode>
                <c:ptCount val="6"/>
                <c:pt idx="0">
                  <c:v>1.448167679554806</c:v>
                </c:pt>
                <c:pt idx="1">
                  <c:v>2.1250286602162913</c:v>
                </c:pt>
                <c:pt idx="2">
                  <c:v>4.2500573204325827</c:v>
                </c:pt>
                <c:pt idx="3">
                  <c:v>4.8750587848119267</c:v>
                </c:pt>
                <c:pt idx="4">
                  <c:v>2.6419275235121464</c:v>
                </c:pt>
                <c:pt idx="5">
                  <c:v>7.1384789349031772</c:v>
                </c:pt>
              </c:numCache>
            </c:numRef>
          </c:val>
          <c:smooth val="0"/>
        </c:ser>
        <c:ser>
          <c:idx val="2"/>
          <c:order val="2"/>
          <c:tx>
            <c:strRef>
              <c:f>'16 LCOE'!$C$231</c:f>
              <c:strCache>
                <c:ptCount val="1"/>
                <c:pt idx="0">
                  <c:v>Høy</c:v>
                </c:pt>
              </c:strCache>
            </c:strRef>
          </c:tx>
          <c:spPr>
            <a:ln w="28575">
              <a:noFill/>
            </a:ln>
          </c:spPr>
          <c:marker>
            <c:symbol val="dash"/>
            <c:size val="15"/>
            <c:spPr>
              <a:solidFill>
                <a:schemeClr val="bg1">
                  <a:lumMod val="75000"/>
                </a:schemeClr>
              </a:solidFill>
              <a:ln>
                <a:noFill/>
              </a:ln>
            </c:spPr>
          </c:marker>
          <c:cat>
            <c:strRef>
              <c:f>'16 LCOE'!$J$213:$O$213</c:f>
              <c:strCache>
                <c:ptCount val="6"/>
                <c:pt idx="0">
                  <c:v>Kontor</c:v>
                </c:pt>
                <c:pt idx="1">
                  <c:v>Universitet og høgskole</c:v>
                </c:pt>
                <c:pt idx="2">
                  <c:v>Sykehus</c:v>
                </c:pt>
                <c:pt idx="3">
                  <c:v>Hotell</c:v>
                </c:pt>
                <c:pt idx="4">
                  <c:v>Forretning</c:v>
                </c:pt>
                <c:pt idx="5">
                  <c:v>Kulturbygg</c:v>
                </c:pt>
              </c:strCache>
            </c:strRef>
          </c:cat>
          <c:val>
            <c:numRef>
              <c:f>'16 LCOE'!$J$231:$O$231</c:f>
              <c:numCache>
                <c:formatCode>#\ ##0.0</c:formatCode>
                <c:ptCount val="6"/>
                <c:pt idx="0">
                  <c:v>3.6564571380861182</c:v>
                </c:pt>
                <c:pt idx="1">
                  <c:v>6.8253866577607543</c:v>
                </c:pt>
                <c:pt idx="2">
                  <c:v>999</c:v>
                </c:pt>
                <c:pt idx="3">
                  <c:v>106.88292733333732</c:v>
                </c:pt>
                <c:pt idx="4">
                  <c:v>8.5317333222009442</c:v>
                </c:pt>
                <c:pt idx="5">
                  <c:v>15.268989619048192</c:v>
                </c:pt>
              </c:numCache>
            </c:numRef>
          </c:val>
          <c:smooth val="0"/>
        </c:ser>
        <c:dLbls>
          <c:showLegendKey val="0"/>
          <c:showVal val="0"/>
          <c:showCatName val="0"/>
          <c:showSerName val="0"/>
          <c:showPercent val="0"/>
          <c:showBubbleSize val="0"/>
        </c:dLbls>
        <c:hiLowLines>
          <c:spPr>
            <a:ln w="28575" cap="sq"/>
          </c:spPr>
        </c:hiLowLines>
        <c:axId val="190130848"/>
        <c:axId val="190130456"/>
      </c:stockChart>
      <c:catAx>
        <c:axId val="190130848"/>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190130456"/>
        <c:crosses val="autoZero"/>
        <c:auto val="1"/>
        <c:lblAlgn val="ctr"/>
        <c:lblOffset val="100"/>
        <c:noMultiLvlLbl val="0"/>
      </c:catAx>
      <c:valAx>
        <c:axId val="190130456"/>
        <c:scaling>
          <c:orientation val="minMax"/>
          <c:max val="20"/>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190130848"/>
        <c:crosses val="autoZero"/>
        <c:crossBetween val="between"/>
        <c:majorUnit val="5"/>
      </c:valAx>
      <c:spPr>
        <a:noFill/>
        <a:effectLst/>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Kontorbygning</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LCOE'!$C$285</c:f>
              <c:strCache>
                <c:ptCount val="1"/>
                <c:pt idx="0">
                  <c:v>Lav</c:v>
                </c:pt>
              </c:strCache>
            </c:strRef>
          </c:tx>
          <c:spPr>
            <a:ln w="28575">
              <a:noFill/>
            </a:ln>
          </c:spPr>
          <c:marker>
            <c:symbol val="dash"/>
            <c:size val="16"/>
            <c:spPr>
              <a:solidFill>
                <a:schemeClr val="bg1">
                  <a:lumMod val="75000"/>
                </a:schemeClr>
              </a:solidFill>
              <a:ln>
                <a:noFill/>
              </a:ln>
            </c:spPr>
          </c:marker>
          <c:cat>
            <c:strRef>
              <c:f>'16 LCOE'!$D$284:$P$284</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LCOE'!$D$285:$P$285</c:f>
              <c:numCache>
                <c:formatCode>#\ ##0.0</c:formatCode>
                <c:ptCount val="13"/>
                <c:pt idx="0" formatCode="#\ ##0.0;\-#\ ##0.0">
                  <c:v>0.6429150171890301</c:v>
                </c:pt>
                <c:pt idx="1">
                  <c:v>0.23954511610757881</c:v>
                </c:pt>
                <c:pt idx="2">
                  <c:v>1.5341087979322747</c:v>
                </c:pt>
                <c:pt idx="3">
                  <c:v>2.8245896787330347</c:v>
                </c:pt>
                <c:pt idx="4">
                  <c:v>0.13929222702519356</c:v>
                </c:pt>
                <c:pt idx="5">
                  <c:v>0.23298135417464103</c:v>
                </c:pt>
                <c:pt idx="6">
                  <c:v>0.74345933485554205</c:v>
                </c:pt>
                <c:pt idx="7">
                  <c:v>0.61571500773299637</c:v>
                </c:pt>
                <c:pt idx="8">
                  <c:v>1.2171581196011692</c:v>
                </c:pt>
                <c:pt idx="9">
                  <c:v>0.35364142149260158</c:v>
                </c:pt>
                <c:pt idx="10">
                  <c:v>1.2055802282383725E-2</c:v>
                </c:pt>
                <c:pt idx="11">
                  <c:v>0.88640955091375551</c:v>
                </c:pt>
                <c:pt idx="12">
                  <c:v>0.25024224305199477</c:v>
                </c:pt>
              </c:numCache>
            </c:numRef>
          </c:val>
          <c:smooth val="0"/>
        </c:ser>
        <c:ser>
          <c:idx val="1"/>
          <c:order val="1"/>
          <c:tx>
            <c:strRef>
              <c:f>'16 LCOE'!$C$286</c:f>
              <c:strCache>
                <c:ptCount val="1"/>
                <c:pt idx="0">
                  <c:v>Median</c:v>
                </c:pt>
              </c:strCache>
            </c:strRef>
          </c:tx>
          <c:spPr>
            <a:ln w="28575">
              <a:noFill/>
            </a:ln>
          </c:spPr>
          <c:marker>
            <c:symbol val="dash"/>
            <c:size val="16"/>
            <c:spPr>
              <a:solidFill>
                <a:schemeClr val="accent6"/>
              </a:solidFill>
              <a:ln>
                <a:noFill/>
              </a:ln>
            </c:spPr>
          </c:marker>
          <c:cat>
            <c:strRef>
              <c:f>'16 LCOE'!$D$284:$P$284</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LCOE'!$D$286:$P$286</c:f>
              <c:numCache>
                <c:formatCode>#\ ##0.0;\-#\ ##0.0</c:formatCode>
                <c:ptCount val="13"/>
                <c:pt idx="0">
                  <c:v>0.6429150171890301</c:v>
                </c:pt>
                <c:pt idx="1">
                  <c:v>0.23954511610757881</c:v>
                </c:pt>
                <c:pt idx="2">
                  <c:v>1.5341087979322747</c:v>
                </c:pt>
                <c:pt idx="3" formatCode="#\ ##0.0">
                  <c:v>3.20559788442465</c:v>
                </c:pt>
                <c:pt idx="4" formatCode="#\ ##0.0">
                  <c:v>0.66399685939772524</c:v>
                </c:pt>
                <c:pt idx="5" formatCode="#\ ##0.0">
                  <c:v>0.37989665516006088</c:v>
                </c:pt>
                <c:pt idx="6" formatCode="#\ ##0.0">
                  <c:v>1.2317905333531498</c:v>
                </c:pt>
                <c:pt idx="7" formatCode="#\ ##0.0">
                  <c:v>0.8586501808521404</c:v>
                </c:pt>
                <c:pt idx="8" formatCode="#\ ##0.0">
                  <c:v>3.5800174115750187</c:v>
                </c:pt>
                <c:pt idx="9" formatCode="#\ ##0.0">
                  <c:v>0.82940227039740022</c:v>
                </c:pt>
                <c:pt idx="10" formatCode="#\ ##0.0">
                  <c:v>0.18764225587918615</c:v>
                </c:pt>
                <c:pt idx="11" formatCode="#\ ##0.0">
                  <c:v>5.8017817890478609</c:v>
                </c:pt>
                <c:pt idx="12" formatCode="#\ ##0.0">
                  <c:v>1.448167679554806</c:v>
                </c:pt>
              </c:numCache>
            </c:numRef>
          </c:val>
          <c:smooth val="0"/>
        </c:ser>
        <c:ser>
          <c:idx val="2"/>
          <c:order val="2"/>
          <c:tx>
            <c:strRef>
              <c:f>'16 LCOE'!$C$287</c:f>
              <c:strCache>
                <c:ptCount val="1"/>
                <c:pt idx="0">
                  <c:v>Høy</c:v>
                </c:pt>
              </c:strCache>
            </c:strRef>
          </c:tx>
          <c:spPr>
            <a:ln w="28575">
              <a:noFill/>
            </a:ln>
          </c:spPr>
          <c:marker>
            <c:symbol val="dash"/>
            <c:size val="15"/>
            <c:spPr>
              <a:solidFill>
                <a:schemeClr val="bg1">
                  <a:lumMod val="75000"/>
                </a:schemeClr>
              </a:solidFill>
              <a:ln>
                <a:noFill/>
              </a:ln>
            </c:spPr>
          </c:marker>
          <c:cat>
            <c:strRef>
              <c:f>'16 LCOE'!$D$284:$P$284</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LCOE'!$D$287:$P$287</c:f>
              <c:numCache>
                <c:formatCode>#\ ##0.0;\-#\ ##0.0</c:formatCode>
                <c:ptCount val="13"/>
                <c:pt idx="0">
                  <c:v>0.6429150171890301</c:v>
                </c:pt>
                <c:pt idx="1">
                  <c:v>0.23954511610757881</c:v>
                </c:pt>
                <c:pt idx="2">
                  <c:v>1.5341087979322747</c:v>
                </c:pt>
                <c:pt idx="3" formatCode="#\ ##0.0">
                  <c:v>7.6381859511274959</c:v>
                </c:pt>
                <c:pt idx="4" formatCode="#\ ##0.0">
                  <c:v>5.3995147544880835</c:v>
                </c:pt>
                <c:pt idx="5" formatCode="#\ ##0.0">
                  <c:v>6.2145358495051672</c:v>
                </c:pt>
                <c:pt idx="6" formatCode="#\ ##0.0">
                  <c:v>2.7149783164679189</c:v>
                </c:pt>
                <c:pt idx="7" formatCode="#\ ##0.0">
                  <c:v>3.5807539456812578</c:v>
                </c:pt>
                <c:pt idx="8" formatCode="#\ ##0.0">
                  <c:v>13.768778199204752</c:v>
                </c:pt>
                <c:pt idx="9" formatCode="#\ ##0.0">
                  <c:v>3.6247844537981351</c:v>
                </c:pt>
                <c:pt idx="10" formatCode="#\ ##0.0">
                  <c:v>4.4339459308239579</c:v>
                </c:pt>
                <c:pt idx="11" formatCode="#\ ##0.0">
                  <c:v>42.974727123123323</c:v>
                </c:pt>
                <c:pt idx="12" formatCode="#\ ##0.0">
                  <c:v>3.6564571380861182</c:v>
                </c:pt>
              </c:numCache>
            </c:numRef>
          </c:val>
          <c:smooth val="0"/>
        </c:ser>
        <c:dLbls>
          <c:showLegendKey val="0"/>
          <c:showVal val="0"/>
          <c:showCatName val="0"/>
          <c:showSerName val="0"/>
          <c:showPercent val="0"/>
          <c:showBubbleSize val="0"/>
        </c:dLbls>
        <c:hiLowLines>
          <c:spPr>
            <a:ln w="28575" cap="sq"/>
          </c:spPr>
        </c:hiLowLines>
        <c:axId val="190125752"/>
        <c:axId val="190126144"/>
      </c:stockChart>
      <c:catAx>
        <c:axId val="190125752"/>
        <c:scaling>
          <c:orientation val="minMax"/>
        </c:scaling>
        <c:delete val="0"/>
        <c:axPos val="b"/>
        <c:numFmt formatCode="General" sourceLinked="0"/>
        <c:majorTickMark val="out"/>
        <c:minorTickMark val="none"/>
        <c:tickLblPos val="low"/>
        <c:txPr>
          <a:bodyPr/>
          <a:lstStyle/>
          <a:p>
            <a:pPr>
              <a:defRPr sz="1200"/>
            </a:pPr>
            <a:endParaRPr lang="nb-NO"/>
          </a:p>
        </c:txPr>
        <c:crossAx val="190126144"/>
        <c:crosses val="autoZero"/>
        <c:auto val="1"/>
        <c:lblAlgn val="ctr"/>
        <c:lblOffset val="100"/>
        <c:noMultiLvlLbl val="0"/>
      </c:catAx>
      <c:valAx>
        <c:axId val="190126144"/>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90125752"/>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Skolebygning</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LCOE'!$C$289</c:f>
              <c:strCache>
                <c:ptCount val="1"/>
                <c:pt idx="0">
                  <c:v>Lav</c:v>
                </c:pt>
              </c:strCache>
            </c:strRef>
          </c:tx>
          <c:spPr>
            <a:ln w="28575">
              <a:noFill/>
            </a:ln>
          </c:spPr>
          <c:marker>
            <c:symbol val="dash"/>
            <c:size val="16"/>
            <c:spPr>
              <a:solidFill>
                <a:schemeClr val="bg1">
                  <a:lumMod val="75000"/>
                </a:schemeClr>
              </a:solidFill>
              <a:ln>
                <a:noFill/>
              </a:ln>
            </c:spPr>
          </c:marker>
          <c:cat>
            <c:strRef>
              <c:f>'16 LCOE'!$D$288:$O$288</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LCOE'!$D$289:$O$289</c:f>
              <c:numCache>
                <c:formatCode>#\ ##0.0</c:formatCode>
                <c:ptCount val="12"/>
                <c:pt idx="0" formatCode="#\ ##0.0;\-#\ ##0.0">
                  <c:v>0.66396345838459547</c:v>
                </c:pt>
                <c:pt idx="1">
                  <c:v>0.25529143842514002</c:v>
                </c:pt>
                <c:pt idx="2">
                  <c:v>1.6623328168639273</c:v>
                </c:pt>
                <c:pt idx="3">
                  <c:v>2.4592198695436891</c:v>
                </c:pt>
                <c:pt idx="4">
                  <c:v>9.6936370599733021E-2</c:v>
                </c:pt>
                <c:pt idx="5">
                  <c:v>0.2745851674201128</c:v>
                </c:pt>
                <c:pt idx="6">
                  <c:v>0.4207489642314331</c:v>
                </c:pt>
                <c:pt idx="7">
                  <c:v>0.20358318804074918</c:v>
                </c:pt>
                <c:pt idx="8">
                  <c:v>10.126318784982789</c:v>
                </c:pt>
                <c:pt idx="9">
                  <c:v>2.9735491615787888</c:v>
                </c:pt>
                <c:pt idx="10">
                  <c:v>1.6494408783486014E-2</c:v>
                </c:pt>
                <c:pt idx="11">
                  <c:v>0.58110646399103383</c:v>
                </c:pt>
              </c:numCache>
            </c:numRef>
          </c:val>
          <c:smooth val="0"/>
        </c:ser>
        <c:ser>
          <c:idx val="1"/>
          <c:order val="1"/>
          <c:tx>
            <c:strRef>
              <c:f>'16 LCOE'!$C$290</c:f>
              <c:strCache>
                <c:ptCount val="1"/>
                <c:pt idx="0">
                  <c:v>Median</c:v>
                </c:pt>
              </c:strCache>
            </c:strRef>
          </c:tx>
          <c:spPr>
            <a:ln w="28575">
              <a:noFill/>
            </a:ln>
          </c:spPr>
          <c:marker>
            <c:symbol val="dash"/>
            <c:size val="16"/>
            <c:spPr>
              <a:solidFill>
                <a:schemeClr val="accent6"/>
              </a:solidFill>
              <a:ln>
                <a:noFill/>
              </a:ln>
            </c:spPr>
          </c:marker>
          <c:cat>
            <c:strRef>
              <c:f>'16 LCOE'!$D$288:$O$288</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LCOE'!$D$290:$O$290</c:f>
              <c:numCache>
                <c:formatCode>#\ ##0.0;\-#\ ##0.0</c:formatCode>
                <c:ptCount val="12"/>
                <c:pt idx="0">
                  <c:v>0.66396345838459547</c:v>
                </c:pt>
                <c:pt idx="1">
                  <c:v>0.25529143842514002</c:v>
                </c:pt>
                <c:pt idx="2">
                  <c:v>1.6623328168639273</c:v>
                </c:pt>
                <c:pt idx="3" formatCode="#\ ##0.0">
                  <c:v>3.0012337205724409</c:v>
                </c:pt>
                <c:pt idx="4" formatCode="#\ ##0.0">
                  <c:v>0.51255897918420934</c:v>
                </c:pt>
                <c:pt idx="5" formatCode="#\ ##0.0">
                  <c:v>0.4363677795757453</c:v>
                </c:pt>
                <c:pt idx="6" formatCode="#\ ##0.0">
                  <c:v>0.71790292021988267</c:v>
                </c:pt>
                <c:pt idx="7" formatCode="#\ ##0.0">
                  <c:v>0.57504135118571575</c:v>
                </c:pt>
                <c:pt idx="8" formatCode="#\ ##0.0">
                  <c:v>14.899309128050984</c:v>
                </c:pt>
                <c:pt idx="9" formatCode="#\ ##0.0">
                  <c:v>3.373906694394897</c:v>
                </c:pt>
                <c:pt idx="10" formatCode="#\ ##0.0">
                  <c:v>0.29424740774031916</c:v>
                </c:pt>
                <c:pt idx="11" formatCode="#\ ##0.0">
                  <c:v>4.3517708236972075</c:v>
                </c:pt>
              </c:numCache>
            </c:numRef>
          </c:val>
          <c:smooth val="0"/>
        </c:ser>
        <c:ser>
          <c:idx val="2"/>
          <c:order val="2"/>
          <c:tx>
            <c:strRef>
              <c:f>'16 LCOE'!$C$291</c:f>
              <c:strCache>
                <c:ptCount val="1"/>
                <c:pt idx="0">
                  <c:v>Høy</c:v>
                </c:pt>
              </c:strCache>
            </c:strRef>
          </c:tx>
          <c:spPr>
            <a:ln w="28575">
              <a:noFill/>
            </a:ln>
          </c:spPr>
          <c:marker>
            <c:symbol val="dash"/>
            <c:size val="15"/>
            <c:spPr>
              <a:solidFill>
                <a:schemeClr val="bg1">
                  <a:lumMod val="75000"/>
                </a:schemeClr>
              </a:solidFill>
              <a:ln>
                <a:noFill/>
              </a:ln>
            </c:spPr>
          </c:marker>
          <c:cat>
            <c:strRef>
              <c:f>'16 LCOE'!$D$288:$O$288</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LCOE'!$D$291:$O$291</c:f>
              <c:numCache>
                <c:formatCode>#\ ##0.0</c:formatCode>
                <c:ptCount val="12"/>
                <c:pt idx="0" formatCode="#\ ##0.0;\-#\ ##0.0">
                  <c:v>2.9792680253487807</c:v>
                </c:pt>
                <c:pt idx="1">
                  <c:v>10.312620252766919</c:v>
                </c:pt>
                <c:pt idx="2">
                  <c:v>15.180177012072956</c:v>
                </c:pt>
                <c:pt idx="3">
                  <c:v>6.2137011113673815</c:v>
                </c:pt>
                <c:pt idx="4">
                  <c:v>4.3338210529443826</c:v>
                </c:pt>
                <c:pt idx="5">
                  <c:v>6.4582431377210421</c:v>
                </c:pt>
                <c:pt idx="6">
                  <c:v>1.2891263948696596</c:v>
                </c:pt>
                <c:pt idx="7">
                  <c:v>2.6999267718773181</c:v>
                </c:pt>
                <c:pt idx="8">
                  <c:v>66.417197342631354</c:v>
                </c:pt>
                <c:pt idx="9">
                  <c:v>20.280878298084694</c:v>
                </c:pt>
                <c:pt idx="10">
                  <c:v>4.8563336649107818</c:v>
                </c:pt>
                <c:pt idx="11">
                  <c:v>26.969668811465063</c:v>
                </c:pt>
              </c:numCache>
            </c:numRef>
          </c:val>
          <c:smooth val="0"/>
        </c:ser>
        <c:dLbls>
          <c:showLegendKey val="0"/>
          <c:showVal val="0"/>
          <c:showCatName val="0"/>
          <c:showSerName val="0"/>
          <c:showPercent val="0"/>
          <c:showBubbleSize val="0"/>
        </c:dLbls>
        <c:hiLowLines>
          <c:spPr>
            <a:ln w="28575" cap="sq"/>
          </c:spPr>
        </c:hiLowLines>
        <c:axId val="190126928"/>
        <c:axId val="190127320"/>
      </c:stockChart>
      <c:catAx>
        <c:axId val="190126928"/>
        <c:scaling>
          <c:orientation val="minMax"/>
        </c:scaling>
        <c:delete val="0"/>
        <c:axPos val="b"/>
        <c:numFmt formatCode="General" sourceLinked="0"/>
        <c:majorTickMark val="out"/>
        <c:minorTickMark val="none"/>
        <c:tickLblPos val="low"/>
        <c:txPr>
          <a:bodyPr/>
          <a:lstStyle/>
          <a:p>
            <a:pPr>
              <a:defRPr sz="1200"/>
            </a:pPr>
            <a:endParaRPr lang="nb-NO"/>
          </a:p>
        </c:txPr>
        <c:crossAx val="190127320"/>
        <c:crosses val="autoZero"/>
        <c:auto val="1"/>
        <c:lblAlgn val="ctr"/>
        <c:lblOffset val="100"/>
        <c:noMultiLvlLbl val="0"/>
      </c:catAx>
      <c:valAx>
        <c:axId val="190127320"/>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90126928"/>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Universites- og høgskolebygning</a:t>
            </a:r>
            <a:endParaRPr lang="nb-NO" sz="2000" b="1"/>
          </a:p>
        </c:rich>
      </c:tx>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LCOE'!$C$293</c:f>
              <c:strCache>
                <c:ptCount val="1"/>
                <c:pt idx="0">
                  <c:v>Lav</c:v>
                </c:pt>
              </c:strCache>
            </c:strRef>
          </c:tx>
          <c:spPr>
            <a:ln w="28575">
              <a:noFill/>
            </a:ln>
          </c:spPr>
          <c:marker>
            <c:symbol val="dash"/>
            <c:size val="16"/>
            <c:spPr>
              <a:solidFill>
                <a:schemeClr val="bg1">
                  <a:lumMod val="75000"/>
                </a:schemeClr>
              </a:solidFill>
              <a:ln>
                <a:noFill/>
              </a:ln>
            </c:spPr>
          </c:marker>
          <c:cat>
            <c:strRef>
              <c:f>'16 LCOE'!$D$292:$P$292</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LCOE'!$D$293:$P$293</c:f>
              <c:numCache>
                <c:formatCode>#\ ##0.0</c:formatCode>
                <c:ptCount val="13"/>
                <c:pt idx="0" formatCode="#\ ##0.0;\-#\ ##0.0">
                  <c:v>0.63061042355861807</c:v>
                </c:pt>
                <c:pt idx="1">
                  <c:v>0.23492069301669891</c:v>
                </c:pt>
                <c:pt idx="2">
                  <c:v>1.5091639394293126</c:v>
                </c:pt>
                <c:pt idx="3">
                  <c:v>2.6671035635518776</c:v>
                </c:pt>
                <c:pt idx="4">
                  <c:v>0.10698707205345701</c:v>
                </c:pt>
                <c:pt idx="5">
                  <c:v>0.1787996439014686</c:v>
                </c:pt>
                <c:pt idx="6">
                  <c:v>0.29951621182576604</c:v>
                </c:pt>
                <c:pt idx="7">
                  <c:v>0.29699194490650477</c:v>
                </c:pt>
                <c:pt idx="8">
                  <c:v>1.5845913126173978</c:v>
                </c:pt>
                <c:pt idx="9">
                  <c:v>0.5538384771476752</c:v>
                </c:pt>
                <c:pt idx="10">
                  <c:v>1.0708510778925573E-2</c:v>
                </c:pt>
                <c:pt idx="11">
                  <c:v>0.60632978296226381</c:v>
                </c:pt>
                <c:pt idx="12">
                  <c:v>0.40256360838799171</c:v>
                </c:pt>
              </c:numCache>
            </c:numRef>
          </c:val>
          <c:smooth val="0"/>
        </c:ser>
        <c:ser>
          <c:idx val="1"/>
          <c:order val="1"/>
          <c:tx>
            <c:strRef>
              <c:f>'16 LCOE'!$C$294</c:f>
              <c:strCache>
                <c:ptCount val="1"/>
                <c:pt idx="0">
                  <c:v>Median</c:v>
                </c:pt>
              </c:strCache>
            </c:strRef>
          </c:tx>
          <c:spPr>
            <a:ln w="28575">
              <a:noFill/>
            </a:ln>
          </c:spPr>
          <c:marker>
            <c:symbol val="dash"/>
            <c:size val="16"/>
            <c:spPr>
              <a:solidFill>
                <a:schemeClr val="accent6"/>
              </a:solidFill>
              <a:ln>
                <a:noFill/>
              </a:ln>
            </c:spPr>
          </c:marker>
          <c:cat>
            <c:strRef>
              <c:f>'16 LCOE'!$D$292:$P$292</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LCOE'!$D$294:$P$294</c:f>
              <c:numCache>
                <c:formatCode>#\ ##0.0;\-#\ ##0.0</c:formatCode>
                <c:ptCount val="13"/>
                <c:pt idx="0">
                  <c:v>0.63061042355861807</c:v>
                </c:pt>
                <c:pt idx="1">
                  <c:v>0.23492069301669891</c:v>
                </c:pt>
                <c:pt idx="2">
                  <c:v>1.5091639394293126</c:v>
                </c:pt>
                <c:pt idx="3" formatCode="#\ ##0.0">
                  <c:v>3.1808442328074711</c:v>
                </c:pt>
                <c:pt idx="4" formatCode="#\ ##0.0">
                  <c:v>0.5095789851191842</c:v>
                </c:pt>
                <c:pt idx="5" formatCode="#\ ##0.0">
                  <c:v>0.298992737857455</c:v>
                </c:pt>
                <c:pt idx="6" formatCode="#\ ##0.0">
                  <c:v>0.48878496695821833</c:v>
                </c:pt>
                <c:pt idx="7" formatCode="#\ ##0.0">
                  <c:v>0.84712467506888922</c:v>
                </c:pt>
                <c:pt idx="8" formatCode="#\ ##0.0">
                  <c:v>3.8674796517407959</c:v>
                </c:pt>
                <c:pt idx="9" formatCode="#\ ##0.0">
                  <c:v>1.0353269702240651</c:v>
                </c:pt>
                <c:pt idx="10" formatCode="#\ ##0.0">
                  <c:v>0.16724768592681119</c:v>
                </c:pt>
                <c:pt idx="11" formatCode="#\ ##0.0">
                  <c:v>3.9405953706444419</c:v>
                </c:pt>
                <c:pt idx="12" formatCode="#\ ##0.0">
                  <c:v>2.1250286602162913</c:v>
                </c:pt>
              </c:numCache>
            </c:numRef>
          </c:val>
          <c:smooth val="0"/>
        </c:ser>
        <c:ser>
          <c:idx val="2"/>
          <c:order val="2"/>
          <c:tx>
            <c:strRef>
              <c:f>'16 LCOE'!$C$295</c:f>
              <c:strCache>
                <c:ptCount val="1"/>
                <c:pt idx="0">
                  <c:v>Høy</c:v>
                </c:pt>
              </c:strCache>
            </c:strRef>
          </c:tx>
          <c:spPr>
            <a:ln w="28575">
              <a:noFill/>
            </a:ln>
          </c:spPr>
          <c:marker>
            <c:symbol val="dash"/>
            <c:size val="15"/>
            <c:spPr>
              <a:solidFill>
                <a:schemeClr val="bg1">
                  <a:lumMod val="75000"/>
                </a:schemeClr>
              </a:solidFill>
              <a:ln>
                <a:noFill/>
              </a:ln>
            </c:spPr>
          </c:marker>
          <c:cat>
            <c:strRef>
              <c:f>'16 LCOE'!$D$292:$P$292</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LCOE'!$D$295:$P$295</c:f>
              <c:numCache>
                <c:formatCode>#\ ##0.0</c:formatCode>
                <c:ptCount val="13"/>
                <c:pt idx="0" formatCode="#\ ##0.0;\-#\ ##0.0">
                  <c:v>1.8910476949518602</c:v>
                </c:pt>
                <c:pt idx="1">
                  <c:v>2.5625298809905677</c:v>
                </c:pt>
                <c:pt idx="2">
                  <c:v>9.5422799447289286</c:v>
                </c:pt>
                <c:pt idx="3">
                  <c:v>7.2376818188586372</c:v>
                </c:pt>
                <c:pt idx="4">
                  <c:v>4.11713000029716</c:v>
                </c:pt>
                <c:pt idx="5">
                  <c:v>4.8436823532907889</c:v>
                </c:pt>
                <c:pt idx="6">
                  <c:v>1.0729854424364234</c:v>
                </c:pt>
                <c:pt idx="7">
                  <c:v>3.5061549051462291</c:v>
                </c:pt>
                <c:pt idx="8">
                  <c:v>13.663335494045088</c:v>
                </c:pt>
                <c:pt idx="9">
                  <c:v>4.1196925454148001</c:v>
                </c:pt>
                <c:pt idx="10">
                  <c:v>4.0028315651280515</c:v>
                </c:pt>
                <c:pt idx="11">
                  <c:v>27.542331142143283</c:v>
                </c:pt>
                <c:pt idx="12">
                  <c:v>6.8253866577607543</c:v>
                </c:pt>
              </c:numCache>
            </c:numRef>
          </c:val>
          <c:smooth val="0"/>
        </c:ser>
        <c:dLbls>
          <c:showLegendKey val="0"/>
          <c:showVal val="0"/>
          <c:showCatName val="0"/>
          <c:showSerName val="0"/>
          <c:showPercent val="0"/>
          <c:showBubbleSize val="0"/>
        </c:dLbls>
        <c:hiLowLines>
          <c:spPr>
            <a:ln w="28575" cap="sq"/>
          </c:spPr>
        </c:hiLowLines>
        <c:axId val="186448016"/>
        <c:axId val="186441744"/>
      </c:stockChart>
      <c:catAx>
        <c:axId val="186448016"/>
        <c:scaling>
          <c:orientation val="minMax"/>
        </c:scaling>
        <c:delete val="0"/>
        <c:axPos val="b"/>
        <c:numFmt formatCode="General" sourceLinked="0"/>
        <c:majorTickMark val="out"/>
        <c:minorTickMark val="none"/>
        <c:tickLblPos val="low"/>
        <c:txPr>
          <a:bodyPr/>
          <a:lstStyle/>
          <a:p>
            <a:pPr>
              <a:defRPr sz="1200"/>
            </a:pPr>
            <a:endParaRPr lang="nb-NO"/>
          </a:p>
        </c:txPr>
        <c:crossAx val="186441744"/>
        <c:crosses val="autoZero"/>
        <c:auto val="1"/>
        <c:lblAlgn val="ctr"/>
        <c:lblOffset val="100"/>
        <c:noMultiLvlLbl val="0"/>
      </c:catAx>
      <c:valAx>
        <c:axId val="186441744"/>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86448016"/>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nb-NO" sz="1400"/>
              <a:t>Etterisolering tak/loft</a:t>
            </a:r>
          </a:p>
        </c:rich>
      </c:tx>
      <c:layout/>
      <c:overlay val="0"/>
    </c:title>
    <c:autoTitleDeleted val="0"/>
    <c:plotArea>
      <c:layout>
        <c:manualLayout>
          <c:layoutTarget val="inner"/>
          <c:xMode val="edge"/>
          <c:yMode val="edge"/>
          <c:x val="0.12485018518518519"/>
          <c:y val="0.13117250000000003"/>
          <c:w val="0.84852464438852271"/>
          <c:h val="0.63133083333333329"/>
        </c:manualLayout>
      </c:layout>
      <c:stockChart>
        <c:ser>
          <c:idx val="0"/>
          <c:order val="0"/>
          <c:tx>
            <c:strRef>
              <c:f>'16 LCOE'!$C$57</c:f>
              <c:strCache>
                <c:ptCount val="1"/>
                <c:pt idx="0">
                  <c:v>Lav</c:v>
                </c:pt>
              </c:strCache>
            </c:strRef>
          </c:tx>
          <c:spPr>
            <a:ln w="28575">
              <a:noFill/>
            </a:ln>
          </c:spPr>
          <c:marker>
            <c:symbol val="dash"/>
            <c:size val="16"/>
            <c:spPr>
              <a:solidFill>
                <a:schemeClr val="tx2">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LCOE'!$D$57:$O$57</c:f>
              <c:numCache>
                <c:formatCode>#\ ##0.0</c:formatCode>
                <c:ptCount val="12"/>
                <c:pt idx="0">
                  <c:v>0.76401424433608867</c:v>
                </c:pt>
                <c:pt idx="1">
                  <c:v>0.93015790515152785</c:v>
                </c:pt>
                <c:pt idx="2">
                  <c:v>1.1385132759054717</c:v>
                </c:pt>
                <c:pt idx="3">
                  <c:v>0.23954511610757881</c:v>
                </c:pt>
                <c:pt idx="4">
                  <c:v>0.25529143842514002</c:v>
                </c:pt>
                <c:pt idx="5">
                  <c:v>0.23492069301669891</c:v>
                </c:pt>
                <c:pt idx="6">
                  <c:v>0.2224660310468925</c:v>
                </c:pt>
                <c:pt idx="7">
                  <c:v>1.1999016201635528</c:v>
                </c:pt>
                <c:pt idx="8">
                  <c:v>0.81789746832289745</c:v>
                </c:pt>
                <c:pt idx="9">
                  <c:v>0.60034182185750484</c:v>
                </c:pt>
                <c:pt idx="10">
                  <c:v>0.86511425453767232</c:v>
                </c:pt>
                <c:pt idx="11">
                  <c:v>0.88589449579711033</c:v>
                </c:pt>
              </c:numCache>
            </c:numRef>
          </c:val>
          <c:smooth val="0"/>
        </c:ser>
        <c:ser>
          <c:idx val="2"/>
          <c:order val="1"/>
          <c:tx>
            <c:strRef>
              <c:f>'16 LCOE'!$C$58</c:f>
              <c:strCache>
                <c:ptCount val="1"/>
                <c:pt idx="0">
                  <c:v>Median</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LCOE'!$D$58:$O$58</c:f>
              <c:numCache>
                <c:formatCode>#\ ##0.0</c:formatCode>
                <c:ptCount val="12"/>
                <c:pt idx="0">
                  <c:v>1.3522998054384678</c:v>
                </c:pt>
                <c:pt idx="1">
                  <c:v>2.7904737154545831</c:v>
                </c:pt>
                <c:pt idx="2">
                  <c:v>3.4155398277164153</c:v>
                </c:pt>
                <c:pt idx="3">
                  <c:v>2.6426089397715256</c:v>
                </c:pt>
                <c:pt idx="4">
                  <c:v>2.6988346618943315</c:v>
                </c:pt>
                <c:pt idx="5">
                  <c:v>2.5625298809905677</c:v>
                </c:pt>
                <c:pt idx="6">
                  <c:v>2.3489857242413472</c:v>
                </c:pt>
                <c:pt idx="7">
                  <c:v>3.7125432909961034</c:v>
                </c:pt>
                <c:pt idx="8">
                  <c:v>2.4536924049686921</c:v>
                </c:pt>
                <c:pt idx="9">
                  <c:v>1.668434633751225</c:v>
                </c:pt>
                <c:pt idx="10">
                  <c:v>2.6851728205317671</c:v>
                </c:pt>
                <c:pt idx="11">
                  <c:v>2.7544676029971091</c:v>
                </c:pt>
              </c:numCache>
            </c:numRef>
          </c:val>
          <c:smooth val="0"/>
        </c:ser>
        <c:dLbls>
          <c:showLegendKey val="0"/>
          <c:showVal val="0"/>
          <c:showCatName val="0"/>
          <c:showSerName val="0"/>
          <c:showPercent val="0"/>
          <c:showBubbleSize val="0"/>
        </c:dLbls>
        <c:hiLowLines>
          <c:spPr>
            <a:ln w="28575" cap="sq"/>
          </c:spPr>
        </c:hiLowLines>
        <c:axId val="371687536"/>
        <c:axId val="371691848"/>
      </c:stockChart>
      <c:catAx>
        <c:axId val="371687536"/>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371691848"/>
        <c:crosses val="autoZero"/>
        <c:auto val="1"/>
        <c:lblAlgn val="ctr"/>
        <c:lblOffset val="100"/>
        <c:noMultiLvlLbl val="0"/>
      </c:catAx>
      <c:valAx>
        <c:axId val="371691848"/>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0" sourceLinked="0"/>
        <c:majorTickMark val="none"/>
        <c:minorTickMark val="none"/>
        <c:tickLblPos val="nextTo"/>
        <c:txPr>
          <a:bodyPr/>
          <a:lstStyle/>
          <a:p>
            <a:pPr>
              <a:defRPr sz="1200"/>
            </a:pPr>
            <a:endParaRPr lang="nb-NO"/>
          </a:p>
        </c:txPr>
        <c:crossAx val="371687536"/>
        <c:crosses val="autoZero"/>
        <c:crossBetween val="between"/>
        <c:majorUnit val="0.5"/>
      </c:valAx>
      <c:spPr>
        <a:noFill/>
        <a:effectLst/>
      </c:spPr>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Sykehus</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LCOE'!$C$297</c:f>
              <c:strCache>
                <c:ptCount val="1"/>
                <c:pt idx="0">
                  <c:v>Lav</c:v>
                </c:pt>
              </c:strCache>
            </c:strRef>
          </c:tx>
          <c:spPr>
            <a:ln w="28575">
              <a:noFill/>
            </a:ln>
          </c:spPr>
          <c:marker>
            <c:symbol val="dash"/>
            <c:size val="16"/>
            <c:spPr>
              <a:solidFill>
                <a:schemeClr val="bg1">
                  <a:lumMod val="75000"/>
                </a:schemeClr>
              </a:solidFill>
              <a:ln>
                <a:noFill/>
              </a:ln>
            </c:spPr>
          </c:marker>
          <c:cat>
            <c:strRef>
              <c:f>'16 LCOE'!$D$296:$P$296</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LCOE'!$D$297:$P$297</c:f>
              <c:numCache>
                <c:formatCode>#\ ##0.0</c:formatCode>
                <c:ptCount val="13"/>
                <c:pt idx="0" formatCode="#\ ##0.0;\-#\ ##0.0">
                  <c:v>0.60090081393807571</c:v>
                </c:pt>
                <c:pt idx="1">
                  <c:v>0.2224660310468925</c:v>
                </c:pt>
                <c:pt idx="2">
                  <c:v>1.4334143980679948</c:v>
                </c:pt>
                <c:pt idx="3">
                  <c:v>2.6913059552356544</c:v>
                </c:pt>
                <c:pt idx="4">
                  <c:v>4.6679478461419045E-2</c:v>
                </c:pt>
                <c:pt idx="5">
                  <c:v>8.0930365134348814E-2</c:v>
                </c:pt>
                <c:pt idx="6">
                  <c:v>0.22885926924722313</c:v>
                </c:pt>
                <c:pt idx="7">
                  <c:v>0.33659087089403877</c:v>
                </c:pt>
                <c:pt idx="8">
                  <c:v>1.3103681048848559</c:v>
                </c:pt>
                <c:pt idx="9">
                  <c:v>0.56519434228088161</c:v>
                </c:pt>
                <c:pt idx="10">
                  <c:v>6.2575930372713714E-3</c:v>
                </c:pt>
                <c:pt idx="11">
                  <c:v>0.44772132642307205</c:v>
                </c:pt>
                <c:pt idx="12">
                  <c:v>1.3227089989891145</c:v>
                </c:pt>
              </c:numCache>
            </c:numRef>
          </c:val>
          <c:smooth val="0"/>
        </c:ser>
        <c:ser>
          <c:idx val="1"/>
          <c:order val="1"/>
          <c:tx>
            <c:strRef>
              <c:f>'16 LCOE'!$C$298</c:f>
              <c:strCache>
                <c:ptCount val="1"/>
                <c:pt idx="0">
                  <c:v>Median</c:v>
                </c:pt>
              </c:strCache>
            </c:strRef>
          </c:tx>
          <c:spPr>
            <a:ln w="28575">
              <a:noFill/>
            </a:ln>
          </c:spPr>
          <c:marker>
            <c:symbol val="dash"/>
            <c:size val="16"/>
            <c:spPr>
              <a:solidFill>
                <a:schemeClr val="accent6"/>
              </a:solidFill>
              <a:ln>
                <a:noFill/>
              </a:ln>
            </c:spPr>
          </c:marker>
          <c:cat>
            <c:strRef>
              <c:f>'16 LCOE'!$D$296:$P$296</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LCOE'!$D$298:$P$298</c:f>
              <c:numCache>
                <c:formatCode>#\ ##0.0;\-#\ ##0.0</c:formatCode>
                <c:ptCount val="13"/>
                <c:pt idx="0">
                  <c:v>0.60090081393807571</c:v>
                </c:pt>
                <c:pt idx="1">
                  <c:v>0.2224660310468925</c:v>
                </c:pt>
                <c:pt idx="2">
                  <c:v>1.4334143980679948</c:v>
                </c:pt>
                <c:pt idx="3" formatCode="#\ ##0.0">
                  <c:v>3.249856632335836</c:v>
                </c:pt>
                <c:pt idx="4" formatCode="#\ ##0.0">
                  <c:v>0.20671600339740492</c:v>
                </c:pt>
                <c:pt idx="5" formatCode="#\ ##0.0">
                  <c:v>0.13073366675548631</c:v>
                </c:pt>
                <c:pt idx="6" formatCode="#\ ##0.0">
                  <c:v>0.33030759808822813</c:v>
                </c:pt>
                <c:pt idx="7" formatCode="#\ ##0.0">
                  <c:v>1.4676927509914539</c:v>
                </c:pt>
                <c:pt idx="8" formatCode="#\ ##0.0">
                  <c:v>2.487651949117343</c:v>
                </c:pt>
                <c:pt idx="9" formatCode="#\ ##0.0">
                  <c:v>0.78556225508589017</c:v>
                </c:pt>
                <c:pt idx="10" formatCode="#\ ##0.0">
                  <c:v>9.0040669035229642E-2</c:v>
                </c:pt>
                <c:pt idx="11" formatCode="#\ ##0.0">
                  <c:v>2.6369182477811908</c:v>
                </c:pt>
                <c:pt idx="12" formatCode="#\ ##0.0">
                  <c:v>4.2500573204325827</c:v>
                </c:pt>
              </c:numCache>
            </c:numRef>
          </c:val>
          <c:smooth val="0"/>
        </c:ser>
        <c:ser>
          <c:idx val="2"/>
          <c:order val="2"/>
          <c:tx>
            <c:strRef>
              <c:f>'16 LCOE'!$C$299</c:f>
              <c:strCache>
                <c:ptCount val="1"/>
                <c:pt idx="0">
                  <c:v>Høy</c:v>
                </c:pt>
              </c:strCache>
            </c:strRef>
          </c:tx>
          <c:spPr>
            <a:ln w="28575">
              <a:noFill/>
            </a:ln>
          </c:spPr>
          <c:marker>
            <c:symbol val="dash"/>
            <c:size val="15"/>
            <c:spPr>
              <a:solidFill>
                <a:schemeClr val="bg1">
                  <a:lumMod val="75000"/>
                </a:schemeClr>
              </a:solidFill>
              <a:ln>
                <a:noFill/>
              </a:ln>
            </c:spPr>
          </c:marker>
          <c:cat>
            <c:strRef>
              <c:f>'16 LCOE'!$D$296:$P$296</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LCOE'!$D$299:$P$299</c:f>
              <c:numCache>
                <c:formatCode>#\ ##0.0</c:formatCode>
                <c:ptCount val="13"/>
                <c:pt idx="0" formatCode="#\ ##0.0;\-#\ ##0.0">
                  <c:v>1.7422596783439694</c:v>
                </c:pt>
                <c:pt idx="1">
                  <c:v>2.3489857242413472</c:v>
                </c:pt>
                <c:pt idx="2">
                  <c:v>8.8001026156944686</c:v>
                </c:pt>
                <c:pt idx="3">
                  <c:v>6.9263836761120308</c:v>
                </c:pt>
                <c:pt idx="4">
                  <c:v>1.5911613527718502</c:v>
                </c:pt>
                <c:pt idx="5">
                  <c:v>2.0331506174306977</c:v>
                </c:pt>
                <c:pt idx="6">
                  <c:v>0.67414811469858082</c:v>
                </c:pt>
                <c:pt idx="7">
                  <c:v>4.6748732068616201</c:v>
                </c:pt>
                <c:pt idx="8">
                  <c:v>7.0262101228306184</c:v>
                </c:pt>
                <c:pt idx="9">
                  <c:v>2.511613212158303</c:v>
                </c:pt>
                <c:pt idx="10">
                  <c:v>2.0020056486950497</c:v>
                </c:pt>
                <c:pt idx="11">
                  <c:v>17.324449681728776</c:v>
                </c:pt>
                <c:pt idx="12">
                  <c:v>999</c:v>
                </c:pt>
              </c:numCache>
            </c:numRef>
          </c:val>
          <c:smooth val="0"/>
        </c:ser>
        <c:dLbls>
          <c:showLegendKey val="0"/>
          <c:showVal val="0"/>
          <c:showCatName val="0"/>
          <c:showSerName val="0"/>
          <c:showPercent val="0"/>
          <c:showBubbleSize val="0"/>
        </c:dLbls>
        <c:hiLowLines>
          <c:spPr>
            <a:ln w="28575" cap="sq"/>
          </c:spPr>
        </c:hiLowLines>
        <c:axId val="186447624"/>
        <c:axId val="186448408"/>
      </c:stockChart>
      <c:catAx>
        <c:axId val="186447624"/>
        <c:scaling>
          <c:orientation val="minMax"/>
        </c:scaling>
        <c:delete val="0"/>
        <c:axPos val="b"/>
        <c:numFmt formatCode="General" sourceLinked="0"/>
        <c:majorTickMark val="out"/>
        <c:minorTickMark val="none"/>
        <c:tickLblPos val="low"/>
        <c:txPr>
          <a:bodyPr/>
          <a:lstStyle/>
          <a:p>
            <a:pPr>
              <a:defRPr sz="1200"/>
            </a:pPr>
            <a:endParaRPr lang="nb-NO"/>
          </a:p>
        </c:txPr>
        <c:crossAx val="186448408"/>
        <c:crosses val="autoZero"/>
        <c:auto val="1"/>
        <c:lblAlgn val="ctr"/>
        <c:lblOffset val="100"/>
        <c:noMultiLvlLbl val="0"/>
      </c:catAx>
      <c:valAx>
        <c:axId val="186448408"/>
        <c:scaling>
          <c:orientation val="minMax"/>
          <c:max val="20"/>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86447624"/>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Sykehjem</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LCOE'!$C$301</c:f>
              <c:strCache>
                <c:ptCount val="1"/>
                <c:pt idx="0">
                  <c:v>Lav</c:v>
                </c:pt>
              </c:strCache>
            </c:strRef>
          </c:tx>
          <c:spPr>
            <a:ln w="28575">
              <a:noFill/>
            </a:ln>
          </c:spPr>
          <c:marker>
            <c:symbol val="dash"/>
            <c:size val="16"/>
            <c:spPr>
              <a:solidFill>
                <a:schemeClr val="bg1">
                  <a:lumMod val="75000"/>
                </a:schemeClr>
              </a:solidFill>
              <a:ln>
                <a:noFill/>
              </a:ln>
            </c:spPr>
          </c:marker>
          <c:cat>
            <c:strRef>
              <c:f>'16 LCOE'!$D$300:$O$300</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LCOE'!$D$301:$O$301</c:f>
              <c:numCache>
                <c:formatCode>#\ ##0.0</c:formatCode>
                <c:ptCount val="12"/>
                <c:pt idx="0" formatCode="#\ ##0.0;\-#\ ##0.0">
                  <c:v>0.40597429469117857</c:v>
                </c:pt>
                <c:pt idx="1">
                  <c:v>1.1999016201635528</c:v>
                </c:pt>
                <c:pt idx="2">
                  <c:v>1.3376316455180464</c:v>
                </c:pt>
                <c:pt idx="3">
                  <c:v>2.4715159688914055</c:v>
                </c:pt>
                <c:pt idx="4">
                  <c:v>4.6623973730787159E-2</c:v>
                </c:pt>
                <c:pt idx="5">
                  <c:v>0.11889254671798678</c:v>
                </c:pt>
                <c:pt idx="6">
                  <c:v>0.26068531571104958</c:v>
                </c:pt>
                <c:pt idx="7">
                  <c:v>0.3824896260159551</c:v>
                </c:pt>
                <c:pt idx="8">
                  <c:v>7.92436187927873</c:v>
                </c:pt>
                <c:pt idx="9">
                  <c:v>4.1642123134067068</c:v>
                </c:pt>
                <c:pt idx="10">
                  <c:v>1.1277803595937727E-2</c:v>
                </c:pt>
                <c:pt idx="11">
                  <c:v>0.54207692536477015</c:v>
                </c:pt>
              </c:numCache>
            </c:numRef>
          </c:val>
          <c:smooth val="0"/>
        </c:ser>
        <c:ser>
          <c:idx val="1"/>
          <c:order val="1"/>
          <c:tx>
            <c:strRef>
              <c:f>'16 LCOE'!$C$302</c:f>
              <c:strCache>
                <c:ptCount val="1"/>
                <c:pt idx="0">
                  <c:v>Median</c:v>
                </c:pt>
              </c:strCache>
            </c:strRef>
          </c:tx>
          <c:spPr>
            <a:ln w="28575">
              <a:noFill/>
            </a:ln>
          </c:spPr>
          <c:marker>
            <c:symbol val="dash"/>
            <c:size val="16"/>
            <c:spPr>
              <a:solidFill>
                <a:schemeClr val="accent6"/>
              </a:solidFill>
              <a:ln>
                <a:noFill/>
              </a:ln>
            </c:spPr>
          </c:marker>
          <c:cat>
            <c:strRef>
              <c:f>'16 LCOE'!$D$300:$O$300</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LCOE'!$D$302:$O$302</c:f>
              <c:numCache>
                <c:formatCode>#\ ##0.0;\-#\ ##0.0</c:formatCode>
                <c:ptCount val="12"/>
                <c:pt idx="0">
                  <c:v>0.40597429469117857</c:v>
                </c:pt>
                <c:pt idx="1">
                  <c:v>1.1999016201635528</c:v>
                </c:pt>
                <c:pt idx="2">
                  <c:v>1.3376316455180464</c:v>
                </c:pt>
                <c:pt idx="3" formatCode="#\ ##0.0">
                  <c:v>3.0232611240261842</c:v>
                </c:pt>
                <c:pt idx="4" formatCode="#\ ##0.0">
                  <c:v>0.22795210777763275</c:v>
                </c:pt>
                <c:pt idx="5" formatCode="#\ ##0.0">
                  <c:v>0.17840450656687976</c:v>
                </c:pt>
                <c:pt idx="6" formatCode="#\ ##0.0">
                  <c:v>0.43141583938096228</c:v>
                </c:pt>
                <c:pt idx="7" formatCode="#\ ##0.0">
                  <c:v>1.3333265132246213</c:v>
                </c:pt>
                <c:pt idx="8" formatCode="#\ ##0.0">
                  <c:v>9.8920014061677186</c:v>
                </c:pt>
                <c:pt idx="9" formatCode="#\ ##0.0">
                  <c:v>3.4473698866848985</c:v>
                </c:pt>
                <c:pt idx="10" formatCode="#\ ##0.0">
                  <c:v>0.18143756372785039</c:v>
                </c:pt>
                <c:pt idx="11" formatCode="#\ ##0.0">
                  <c:v>3.7212247950245501</c:v>
                </c:pt>
              </c:numCache>
            </c:numRef>
          </c:val>
          <c:smooth val="0"/>
        </c:ser>
        <c:ser>
          <c:idx val="2"/>
          <c:order val="2"/>
          <c:tx>
            <c:strRef>
              <c:f>'16 LCOE'!$C$303</c:f>
              <c:strCache>
                <c:ptCount val="1"/>
                <c:pt idx="0">
                  <c:v>Høy</c:v>
                </c:pt>
              </c:strCache>
            </c:strRef>
          </c:tx>
          <c:spPr>
            <a:ln w="28575">
              <a:noFill/>
            </a:ln>
          </c:spPr>
          <c:marker>
            <c:symbol val="dash"/>
            <c:size val="15"/>
            <c:spPr>
              <a:solidFill>
                <a:schemeClr val="bg1">
                  <a:lumMod val="75000"/>
                </a:schemeClr>
              </a:solidFill>
              <a:ln>
                <a:noFill/>
              </a:ln>
            </c:spPr>
          </c:marker>
          <c:cat>
            <c:strRef>
              <c:f>'16 LCOE'!$D$300:$O$300</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LCOE'!$D$303:$O$303</c:f>
              <c:numCache>
                <c:formatCode>#\ ##0.0</c:formatCode>
                <c:ptCount val="12"/>
                <c:pt idx="0" formatCode="#\ ##0.0;\-#\ ##0.0">
                  <c:v>1.4604326506908307</c:v>
                </c:pt>
                <c:pt idx="1">
                  <c:v>3.7125432909961034</c:v>
                </c:pt>
                <c:pt idx="2">
                  <c:v>11.147451416086215</c:v>
                </c:pt>
                <c:pt idx="3">
                  <c:v>5.7685404347321061</c:v>
                </c:pt>
                <c:pt idx="4">
                  <c:v>1.7154708334571509</c:v>
                </c:pt>
                <c:pt idx="5">
                  <c:v>2.5336184617213293</c:v>
                </c:pt>
                <c:pt idx="6">
                  <c:v>0.70895576216372957</c:v>
                </c:pt>
                <c:pt idx="7">
                  <c:v>4.1520255455679314</c:v>
                </c:pt>
                <c:pt idx="8">
                  <c:v>37.366662925963013</c:v>
                </c:pt>
                <c:pt idx="9">
                  <c:v>16.905088927988572</c:v>
                </c:pt>
                <c:pt idx="10">
                  <c:v>2.5898153326330156</c:v>
                </c:pt>
                <c:pt idx="11">
                  <c:v>20.732538143708204</c:v>
                </c:pt>
              </c:numCache>
            </c:numRef>
          </c:val>
          <c:smooth val="0"/>
        </c:ser>
        <c:dLbls>
          <c:showLegendKey val="0"/>
          <c:showVal val="0"/>
          <c:showCatName val="0"/>
          <c:showSerName val="0"/>
          <c:showPercent val="0"/>
          <c:showBubbleSize val="0"/>
        </c:dLbls>
        <c:hiLowLines>
          <c:spPr>
            <a:ln w="28575" cap="sq"/>
          </c:spPr>
        </c:hiLowLines>
        <c:axId val="186449192"/>
        <c:axId val="186446448"/>
      </c:stockChart>
      <c:catAx>
        <c:axId val="186449192"/>
        <c:scaling>
          <c:orientation val="minMax"/>
        </c:scaling>
        <c:delete val="0"/>
        <c:axPos val="b"/>
        <c:numFmt formatCode="General" sourceLinked="0"/>
        <c:majorTickMark val="out"/>
        <c:minorTickMark val="none"/>
        <c:tickLblPos val="low"/>
        <c:txPr>
          <a:bodyPr/>
          <a:lstStyle/>
          <a:p>
            <a:pPr>
              <a:defRPr sz="1200"/>
            </a:pPr>
            <a:endParaRPr lang="nb-NO"/>
          </a:p>
        </c:txPr>
        <c:crossAx val="186446448"/>
        <c:crosses val="autoZero"/>
        <c:auto val="1"/>
        <c:lblAlgn val="ctr"/>
        <c:lblOffset val="100"/>
        <c:noMultiLvlLbl val="0"/>
      </c:catAx>
      <c:valAx>
        <c:axId val="186446448"/>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86449192"/>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Hotellbygning</a:t>
            </a:r>
            <a:endParaRPr lang="nb-NO" sz="2000" b="1"/>
          </a:p>
        </c:rich>
      </c:tx>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LCOE'!$C$305</c:f>
              <c:strCache>
                <c:ptCount val="1"/>
                <c:pt idx="0">
                  <c:v>Lav</c:v>
                </c:pt>
              </c:strCache>
            </c:strRef>
          </c:tx>
          <c:spPr>
            <a:ln w="28575">
              <a:noFill/>
            </a:ln>
          </c:spPr>
          <c:marker>
            <c:symbol val="dash"/>
            <c:size val="16"/>
            <c:spPr>
              <a:solidFill>
                <a:schemeClr val="bg1">
                  <a:lumMod val="75000"/>
                </a:schemeClr>
              </a:solidFill>
              <a:ln>
                <a:noFill/>
              </a:ln>
            </c:spPr>
          </c:marker>
          <c:cat>
            <c:strRef>
              <c:f>'16 LCOE'!$D$304:$P$304</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LCOE'!$D$305:$P$305</c:f>
              <c:numCache>
                <c:formatCode>#\ ##0.0</c:formatCode>
                <c:ptCount val="13"/>
                <c:pt idx="0" formatCode="#\ ##0.0;\-#\ ##0.0">
                  <c:v>0.4868994969420492</c:v>
                </c:pt>
                <c:pt idx="1">
                  <c:v>0.81789746832289745</c:v>
                </c:pt>
                <c:pt idx="2">
                  <c:v>1.6483286469586516</c:v>
                </c:pt>
                <c:pt idx="3">
                  <c:v>2.5348881732219546</c:v>
                </c:pt>
                <c:pt idx="4">
                  <c:v>7.8736469693959824E-2</c:v>
                </c:pt>
                <c:pt idx="5">
                  <c:v>0.13180088036165377</c:v>
                </c:pt>
                <c:pt idx="6">
                  <c:v>0.26565936336555379</c:v>
                </c:pt>
                <c:pt idx="7">
                  <c:v>0.45079134494737616</c:v>
                </c:pt>
                <c:pt idx="8">
                  <c:v>0.66067305016684963</c:v>
                </c:pt>
                <c:pt idx="9">
                  <c:v>0.15123554993844357</c:v>
                </c:pt>
                <c:pt idx="10">
                  <c:v>1.1903451895887219E-2</c:v>
                </c:pt>
                <c:pt idx="11">
                  <c:v>0.44618125306436862</c:v>
                </c:pt>
                <c:pt idx="12">
                  <c:v>1.0683418837988998</c:v>
                </c:pt>
              </c:numCache>
            </c:numRef>
          </c:val>
          <c:smooth val="0"/>
        </c:ser>
        <c:ser>
          <c:idx val="1"/>
          <c:order val="1"/>
          <c:tx>
            <c:strRef>
              <c:f>'16 LCOE'!$C$306</c:f>
              <c:strCache>
                <c:ptCount val="1"/>
                <c:pt idx="0">
                  <c:v>Median</c:v>
                </c:pt>
              </c:strCache>
            </c:strRef>
          </c:tx>
          <c:spPr>
            <a:ln w="28575">
              <a:noFill/>
            </a:ln>
          </c:spPr>
          <c:marker>
            <c:symbol val="dash"/>
            <c:size val="16"/>
            <c:spPr>
              <a:solidFill>
                <a:schemeClr val="accent6"/>
              </a:solidFill>
              <a:ln>
                <a:noFill/>
              </a:ln>
            </c:spPr>
          </c:marker>
          <c:cat>
            <c:strRef>
              <c:f>'16 LCOE'!$D$304:$P$304</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LCOE'!$D$306:$P$306</c:f>
              <c:numCache>
                <c:formatCode>#\ ##0.0;\-#\ ##0.0</c:formatCode>
                <c:ptCount val="13"/>
                <c:pt idx="0">
                  <c:v>0.4868994969420492</c:v>
                </c:pt>
                <c:pt idx="1">
                  <c:v>0.81789746832289745</c:v>
                </c:pt>
                <c:pt idx="2">
                  <c:v>1.6483286469586516</c:v>
                </c:pt>
                <c:pt idx="3" formatCode="#\ ##0.0">
                  <c:v>3.0855380385660505</c:v>
                </c:pt>
                <c:pt idx="4" formatCode="#\ ##0.0">
                  <c:v>0.35994901618275066</c:v>
                </c:pt>
                <c:pt idx="5" formatCode="#\ ##0.0">
                  <c:v>0.20968321875717677</c:v>
                </c:pt>
                <c:pt idx="6" formatCode="#\ ##0.0">
                  <c:v>0.37893432489956708</c:v>
                </c:pt>
                <c:pt idx="7" formatCode="#\ ##0.0">
                  <c:v>1.362103344445303</c:v>
                </c:pt>
                <c:pt idx="8" formatCode="#\ ##0.0">
                  <c:v>1.9973433701249086</c:v>
                </c:pt>
                <c:pt idx="9" formatCode="#\ ##0.0">
                  <c:v>0.37185911719735759</c:v>
                </c:pt>
                <c:pt idx="10" formatCode="#\ ##0.0">
                  <c:v>0.18203735732695073</c:v>
                </c:pt>
                <c:pt idx="11" formatCode="#\ ##0.0">
                  <c:v>2.8063737797377675</c:v>
                </c:pt>
                <c:pt idx="12" formatCode="#\ ##0.0">
                  <c:v>4.8750587848119267</c:v>
                </c:pt>
              </c:numCache>
            </c:numRef>
          </c:val>
          <c:smooth val="0"/>
        </c:ser>
        <c:ser>
          <c:idx val="2"/>
          <c:order val="2"/>
          <c:tx>
            <c:strRef>
              <c:f>'16 LCOE'!$C$307</c:f>
              <c:strCache>
                <c:ptCount val="1"/>
                <c:pt idx="0">
                  <c:v>Høy</c:v>
                </c:pt>
              </c:strCache>
            </c:strRef>
          </c:tx>
          <c:spPr>
            <a:ln w="28575">
              <a:noFill/>
            </a:ln>
          </c:spPr>
          <c:marker>
            <c:symbol val="dash"/>
            <c:size val="15"/>
            <c:spPr>
              <a:solidFill>
                <a:schemeClr val="bg1">
                  <a:lumMod val="75000"/>
                </a:schemeClr>
              </a:solidFill>
              <a:ln>
                <a:noFill/>
              </a:ln>
            </c:spPr>
          </c:marker>
          <c:cat>
            <c:strRef>
              <c:f>'16 LCOE'!$D$304:$P$304</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LCOE'!$D$307:$P$307</c:f>
              <c:numCache>
                <c:formatCode>#\ ##0.0</c:formatCode>
                <c:ptCount val="13"/>
                <c:pt idx="0" formatCode="#\ ##0.0;\-#\ ##0.0">
                  <c:v>1.4301085330477894</c:v>
                </c:pt>
                <c:pt idx="1">
                  <c:v>2.4536924049686921</c:v>
                </c:pt>
                <c:pt idx="2">
                  <c:v>4.4881685325422414</c:v>
                </c:pt>
                <c:pt idx="3">
                  <c:v>5.6837089577507509</c:v>
                </c:pt>
                <c:pt idx="4">
                  <c:v>2.9942763638524799</c:v>
                </c:pt>
                <c:pt idx="5">
                  <c:v>3.3609224492221674</c:v>
                </c:pt>
                <c:pt idx="6">
                  <c:v>0.77696940438756756</c:v>
                </c:pt>
                <c:pt idx="7">
                  <c:v>3.9943536894071174</c:v>
                </c:pt>
                <c:pt idx="8">
                  <c:v>11.459009431480174</c:v>
                </c:pt>
                <c:pt idx="9">
                  <c:v>2.4715551346142743</c:v>
                </c:pt>
                <c:pt idx="10">
                  <c:v>2.8479900698425378</c:v>
                </c:pt>
                <c:pt idx="11">
                  <c:v>16.731796989913821</c:v>
                </c:pt>
                <c:pt idx="12">
                  <c:v>106.88292733333732</c:v>
                </c:pt>
              </c:numCache>
            </c:numRef>
          </c:val>
          <c:smooth val="0"/>
        </c:ser>
        <c:dLbls>
          <c:showLegendKey val="0"/>
          <c:showVal val="0"/>
          <c:showCatName val="0"/>
          <c:showSerName val="0"/>
          <c:showPercent val="0"/>
          <c:showBubbleSize val="0"/>
        </c:dLbls>
        <c:hiLowLines>
          <c:spPr>
            <a:ln w="28575" cap="sq"/>
          </c:spPr>
        </c:hiLowLines>
        <c:axId val="186443704"/>
        <c:axId val="186442528"/>
      </c:stockChart>
      <c:catAx>
        <c:axId val="186443704"/>
        <c:scaling>
          <c:orientation val="minMax"/>
        </c:scaling>
        <c:delete val="0"/>
        <c:axPos val="b"/>
        <c:numFmt formatCode="General" sourceLinked="0"/>
        <c:majorTickMark val="out"/>
        <c:minorTickMark val="none"/>
        <c:tickLblPos val="low"/>
        <c:txPr>
          <a:bodyPr/>
          <a:lstStyle/>
          <a:p>
            <a:pPr>
              <a:defRPr sz="1200"/>
            </a:pPr>
            <a:endParaRPr lang="nb-NO"/>
          </a:p>
        </c:txPr>
        <c:crossAx val="186442528"/>
        <c:crosses val="autoZero"/>
        <c:auto val="1"/>
        <c:lblAlgn val="ctr"/>
        <c:lblOffset val="100"/>
        <c:noMultiLvlLbl val="0"/>
      </c:catAx>
      <c:valAx>
        <c:axId val="186442528"/>
        <c:scaling>
          <c:orientation val="minMax"/>
          <c:max val="20"/>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186443704"/>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Idrettsbygning</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LCOE'!$C$309</c:f>
              <c:strCache>
                <c:ptCount val="1"/>
                <c:pt idx="0">
                  <c:v>Lav</c:v>
                </c:pt>
              </c:strCache>
            </c:strRef>
          </c:tx>
          <c:spPr>
            <a:ln w="28575">
              <a:noFill/>
            </a:ln>
          </c:spPr>
          <c:marker>
            <c:symbol val="dash"/>
            <c:size val="16"/>
            <c:spPr>
              <a:solidFill>
                <a:schemeClr val="bg1">
                  <a:lumMod val="75000"/>
                </a:schemeClr>
              </a:solidFill>
              <a:ln>
                <a:noFill/>
              </a:ln>
            </c:spPr>
          </c:marker>
          <c:cat>
            <c:strRef>
              <c:f>'16 LCOE'!$D$308:$O$308</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LCOE'!$D$309:$O$309</c:f>
              <c:numCache>
                <c:formatCode>#\ ##0.0</c:formatCode>
                <c:ptCount val="12"/>
                <c:pt idx="0" formatCode="#\ ##0.0;\-#\ ##0.0">
                  <c:v>0.72524488781196317</c:v>
                </c:pt>
                <c:pt idx="1">
                  <c:v>0.60034182185750484</c:v>
                </c:pt>
                <c:pt idx="2">
                  <c:v>2.2058072569903748</c:v>
                </c:pt>
                <c:pt idx="3">
                  <c:v>2.0039318666687072</c:v>
                </c:pt>
                <c:pt idx="4">
                  <c:v>0.11187093268927811</c:v>
                </c:pt>
                <c:pt idx="5">
                  <c:v>0.31596101456561032</c:v>
                </c:pt>
                <c:pt idx="6">
                  <c:v>0.43967260185715307</c:v>
                </c:pt>
                <c:pt idx="7">
                  <c:v>0.13286481745817319</c:v>
                </c:pt>
                <c:pt idx="8">
                  <c:v>11.007245080048598</c:v>
                </c:pt>
                <c:pt idx="9">
                  <c:v>5.2366789376180636</c:v>
                </c:pt>
                <c:pt idx="10">
                  <c:v>9.0454923349605233E-3</c:v>
                </c:pt>
                <c:pt idx="11">
                  <c:v>0.31411914856328699</c:v>
                </c:pt>
              </c:numCache>
            </c:numRef>
          </c:val>
          <c:smooth val="0"/>
        </c:ser>
        <c:ser>
          <c:idx val="1"/>
          <c:order val="1"/>
          <c:tx>
            <c:strRef>
              <c:f>'16 LCOE'!$C$310</c:f>
              <c:strCache>
                <c:ptCount val="1"/>
                <c:pt idx="0">
                  <c:v>Median</c:v>
                </c:pt>
              </c:strCache>
            </c:strRef>
          </c:tx>
          <c:spPr>
            <a:ln w="28575">
              <a:noFill/>
            </a:ln>
          </c:spPr>
          <c:marker>
            <c:symbol val="dash"/>
            <c:size val="16"/>
            <c:spPr>
              <a:solidFill>
                <a:schemeClr val="accent6"/>
              </a:solidFill>
              <a:ln>
                <a:noFill/>
              </a:ln>
            </c:spPr>
          </c:marker>
          <c:cat>
            <c:strRef>
              <c:f>'16 LCOE'!$D$308:$O$308</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LCOE'!$D$310:$O$310</c:f>
              <c:numCache>
                <c:formatCode>#\ ##0.0;\-#\ ##0.0</c:formatCode>
                <c:ptCount val="12"/>
                <c:pt idx="0">
                  <c:v>0.72524488781196317</c:v>
                </c:pt>
                <c:pt idx="1">
                  <c:v>0.60034182185750484</c:v>
                </c:pt>
                <c:pt idx="2">
                  <c:v>2.2058072569903748</c:v>
                </c:pt>
                <c:pt idx="3" formatCode="#\ ##0.0">
                  <c:v>2.473989958850257</c:v>
                </c:pt>
                <c:pt idx="4" formatCode="#\ ##0.0">
                  <c:v>0.55473155342088509</c:v>
                </c:pt>
                <c:pt idx="5" formatCode="#\ ##0.0">
                  <c:v>0.52082605949363292</c:v>
                </c:pt>
                <c:pt idx="6" formatCode="#\ ##0.0">
                  <c:v>0.71372096146131969</c:v>
                </c:pt>
                <c:pt idx="7" formatCode="#\ ##0.0">
                  <c:v>0.18453446869190729</c:v>
                </c:pt>
                <c:pt idx="8" formatCode="#\ ##0.0">
                  <c:v>16.855476013364672</c:v>
                </c:pt>
                <c:pt idx="9" formatCode="#\ ##0.0">
                  <c:v>6.9465299567076677</c:v>
                </c:pt>
                <c:pt idx="10" formatCode="#\ ##0.0">
                  <c:v>0.15231721712585017</c:v>
                </c:pt>
                <c:pt idx="11" formatCode="#\ ##0.0">
                  <c:v>2.2319725912936592</c:v>
                </c:pt>
              </c:numCache>
            </c:numRef>
          </c:val>
          <c:smooth val="0"/>
        </c:ser>
        <c:ser>
          <c:idx val="2"/>
          <c:order val="2"/>
          <c:tx>
            <c:strRef>
              <c:f>'16 LCOE'!$C$311</c:f>
              <c:strCache>
                <c:ptCount val="1"/>
                <c:pt idx="0">
                  <c:v>Høy</c:v>
                </c:pt>
              </c:strCache>
            </c:strRef>
          </c:tx>
          <c:spPr>
            <a:ln w="28575">
              <a:noFill/>
            </a:ln>
          </c:spPr>
          <c:marker>
            <c:symbol val="dash"/>
            <c:size val="15"/>
            <c:spPr>
              <a:solidFill>
                <a:schemeClr val="bg1">
                  <a:lumMod val="75000"/>
                </a:schemeClr>
              </a:solidFill>
              <a:ln>
                <a:noFill/>
              </a:ln>
            </c:spPr>
          </c:marker>
          <c:cat>
            <c:strRef>
              <c:f>'16 LCOE'!$D$308:$O$308</c:f>
              <c:strCache>
                <c:ptCount val="12"/>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strCache>
            </c:strRef>
          </c:cat>
          <c:val>
            <c:numRef>
              <c:f>'16 LCOE'!$D$311:$O$311</c:f>
              <c:numCache>
                <c:formatCode>#\ ##0.0</c:formatCode>
                <c:ptCount val="12"/>
                <c:pt idx="0" formatCode="#\ ##0.0;\-#\ ##0.0">
                  <c:v>2.1357590913092928</c:v>
                </c:pt>
                <c:pt idx="1">
                  <c:v>1.668434633751225</c:v>
                </c:pt>
                <c:pt idx="2">
                  <c:v>6.0697136344856926</c:v>
                </c:pt>
                <c:pt idx="3">
                  <c:v>3.8882516008757659</c:v>
                </c:pt>
                <c:pt idx="4">
                  <c:v>3.1368609526073601</c:v>
                </c:pt>
                <c:pt idx="5">
                  <c:v>8.4453948724044796</c:v>
                </c:pt>
                <c:pt idx="6">
                  <c:v>1.309140229310559</c:v>
                </c:pt>
                <c:pt idx="7">
                  <c:v>0.7888848536579034</c:v>
                </c:pt>
                <c:pt idx="8">
                  <c:v>49.276900639591403</c:v>
                </c:pt>
                <c:pt idx="9">
                  <c:v>26.10805982956699</c:v>
                </c:pt>
                <c:pt idx="10">
                  <c:v>2.2262197861267032</c:v>
                </c:pt>
                <c:pt idx="11">
                  <c:v>15.941106364055424</c:v>
                </c:pt>
              </c:numCache>
            </c:numRef>
          </c:val>
          <c:smooth val="0"/>
        </c:ser>
        <c:dLbls>
          <c:showLegendKey val="0"/>
          <c:showVal val="0"/>
          <c:showCatName val="0"/>
          <c:showSerName val="0"/>
          <c:showPercent val="0"/>
          <c:showBubbleSize val="0"/>
        </c:dLbls>
        <c:hiLowLines>
          <c:spPr>
            <a:ln w="28575" cap="sq"/>
          </c:spPr>
        </c:hiLowLines>
        <c:axId val="397102344"/>
        <c:axId val="397099992"/>
      </c:stockChart>
      <c:catAx>
        <c:axId val="397102344"/>
        <c:scaling>
          <c:orientation val="minMax"/>
        </c:scaling>
        <c:delete val="0"/>
        <c:axPos val="b"/>
        <c:numFmt formatCode="General" sourceLinked="0"/>
        <c:majorTickMark val="out"/>
        <c:minorTickMark val="none"/>
        <c:tickLblPos val="low"/>
        <c:txPr>
          <a:bodyPr/>
          <a:lstStyle/>
          <a:p>
            <a:pPr>
              <a:defRPr sz="1200"/>
            </a:pPr>
            <a:endParaRPr lang="nb-NO"/>
          </a:p>
        </c:txPr>
        <c:crossAx val="397099992"/>
        <c:crosses val="autoZero"/>
        <c:auto val="1"/>
        <c:lblAlgn val="ctr"/>
        <c:lblOffset val="100"/>
        <c:noMultiLvlLbl val="0"/>
      </c:catAx>
      <c:valAx>
        <c:axId val="397099992"/>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397102344"/>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Forretningsbygning</a:t>
            </a:r>
            <a:endParaRPr lang="nb-NO" sz="2000" b="1"/>
          </a:p>
        </c:rich>
      </c:tx>
      <c:layout/>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LCOE'!$C$313</c:f>
              <c:strCache>
                <c:ptCount val="1"/>
                <c:pt idx="0">
                  <c:v>Lav</c:v>
                </c:pt>
              </c:strCache>
            </c:strRef>
          </c:tx>
          <c:spPr>
            <a:ln w="28575">
              <a:noFill/>
            </a:ln>
          </c:spPr>
          <c:marker>
            <c:symbol val="dash"/>
            <c:size val="16"/>
            <c:spPr>
              <a:solidFill>
                <a:schemeClr val="bg1">
                  <a:lumMod val="75000"/>
                </a:schemeClr>
              </a:solidFill>
              <a:ln>
                <a:noFill/>
              </a:ln>
            </c:spPr>
          </c:marker>
          <c:cat>
            <c:strRef>
              <c:f>'16 LCOE'!$D$312:$P$312</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LCOE'!$D$313:$P$313</c:f>
              <c:numCache>
                <c:formatCode>#\ ##0.0</c:formatCode>
                <c:ptCount val="13"/>
                <c:pt idx="0" formatCode="#\ ##0.0;\-#\ ##0.0">
                  <c:v>0.60923379903120745</c:v>
                </c:pt>
                <c:pt idx="1">
                  <c:v>0.86511425453767232</c:v>
                </c:pt>
                <c:pt idx="2">
                  <c:v>1.4502122230453518</c:v>
                </c:pt>
                <c:pt idx="3">
                  <c:v>2.6433325870496307</c:v>
                </c:pt>
                <c:pt idx="4">
                  <c:v>5.9275528204976585E-2</c:v>
                </c:pt>
                <c:pt idx="5">
                  <c:v>9.6506920766901386E-2</c:v>
                </c:pt>
                <c:pt idx="6">
                  <c:v>0.12906119914065306</c:v>
                </c:pt>
                <c:pt idx="7">
                  <c:v>0.31555394146316135</c:v>
                </c:pt>
                <c:pt idx="8">
                  <c:v>0.37280482288653799</c:v>
                </c:pt>
                <c:pt idx="9">
                  <c:v>9.587878734814366E-2</c:v>
                </c:pt>
                <c:pt idx="10">
                  <c:v>7.6757498848940668E-3</c:v>
                </c:pt>
                <c:pt idx="11">
                  <c:v>0.5404636011821371</c:v>
                </c:pt>
                <c:pt idx="12">
                  <c:v>0.40256360838799171</c:v>
                </c:pt>
              </c:numCache>
            </c:numRef>
          </c:val>
          <c:smooth val="0"/>
        </c:ser>
        <c:ser>
          <c:idx val="1"/>
          <c:order val="1"/>
          <c:tx>
            <c:strRef>
              <c:f>'16 LCOE'!$C$314</c:f>
              <c:strCache>
                <c:ptCount val="1"/>
                <c:pt idx="0">
                  <c:v>Median</c:v>
                </c:pt>
              </c:strCache>
            </c:strRef>
          </c:tx>
          <c:spPr>
            <a:ln w="28575">
              <a:noFill/>
            </a:ln>
          </c:spPr>
          <c:marker>
            <c:symbol val="dash"/>
            <c:size val="16"/>
            <c:spPr>
              <a:solidFill>
                <a:schemeClr val="accent6"/>
              </a:solidFill>
              <a:ln>
                <a:noFill/>
              </a:ln>
            </c:spPr>
          </c:marker>
          <c:cat>
            <c:strRef>
              <c:f>'16 LCOE'!$D$312:$P$312</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LCOE'!$D$314:$P$314</c:f>
              <c:numCache>
                <c:formatCode>#\ ##0.0;\-#\ ##0.0</c:formatCode>
                <c:ptCount val="13"/>
                <c:pt idx="0">
                  <c:v>0.60923379903120745</c:v>
                </c:pt>
                <c:pt idx="1">
                  <c:v>0.86511425453767232</c:v>
                </c:pt>
                <c:pt idx="2">
                  <c:v>1.4502122230453518</c:v>
                </c:pt>
                <c:pt idx="3" formatCode="#\ ##0.0">
                  <c:v>3.2692010170521217</c:v>
                </c:pt>
                <c:pt idx="4" formatCode="#\ ##0.0">
                  <c:v>0.2902237928493368</c:v>
                </c:pt>
                <c:pt idx="5" formatCode="#\ ##0.0">
                  <c:v>0.15985750340893617</c:v>
                </c:pt>
                <c:pt idx="6" formatCode="#\ ##0.0">
                  <c:v>0.1979710745884633</c:v>
                </c:pt>
                <c:pt idx="7" formatCode="#\ ##0.0">
                  <c:v>1.0097726126821163</c:v>
                </c:pt>
                <c:pt idx="8" formatCode="#\ ##0.0">
                  <c:v>1.7463673373903525</c:v>
                </c:pt>
                <c:pt idx="9" formatCode="#\ ##0.0">
                  <c:v>0.40829922657431517</c:v>
                </c:pt>
                <c:pt idx="10" formatCode="#\ ##0.0">
                  <c:v>0.11638408941419627</c:v>
                </c:pt>
                <c:pt idx="11" formatCode="#\ ##0.0">
                  <c:v>3.2769161503253783</c:v>
                </c:pt>
                <c:pt idx="12" formatCode="#\ ##0.0">
                  <c:v>2.6419275235121464</c:v>
                </c:pt>
              </c:numCache>
            </c:numRef>
          </c:val>
          <c:smooth val="0"/>
        </c:ser>
        <c:ser>
          <c:idx val="2"/>
          <c:order val="2"/>
          <c:tx>
            <c:strRef>
              <c:f>'16 LCOE'!$C$315</c:f>
              <c:strCache>
                <c:ptCount val="1"/>
                <c:pt idx="0">
                  <c:v>Høy</c:v>
                </c:pt>
              </c:strCache>
            </c:strRef>
          </c:tx>
          <c:spPr>
            <a:ln w="28575">
              <a:noFill/>
            </a:ln>
          </c:spPr>
          <c:marker>
            <c:symbol val="dash"/>
            <c:size val="15"/>
            <c:spPr>
              <a:solidFill>
                <a:schemeClr val="bg1">
                  <a:lumMod val="75000"/>
                </a:schemeClr>
              </a:solidFill>
              <a:ln>
                <a:noFill/>
              </a:ln>
            </c:spPr>
          </c:marker>
          <c:cat>
            <c:strRef>
              <c:f>'16 LCOE'!$D$312:$P$312</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LCOE'!$D$315:$P$315</c:f>
              <c:numCache>
                <c:formatCode>#\ ##0.0</c:formatCode>
                <c:ptCount val="13"/>
                <c:pt idx="0" formatCode="#\ ##0.0;\-#\ ##0.0">
                  <c:v>1.7829878266688974</c:v>
                </c:pt>
                <c:pt idx="1">
                  <c:v>2.6851728205317671</c:v>
                </c:pt>
                <c:pt idx="2">
                  <c:v>7.6894100525485776</c:v>
                </c:pt>
                <c:pt idx="3">
                  <c:v>7.1046361971884409</c:v>
                </c:pt>
                <c:pt idx="4">
                  <c:v>2.5142778627768925</c:v>
                </c:pt>
                <c:pt idx="5">
                  <c:v>2.5532589149129721</c:v>
                </c:pt>
                <c:pt idx="6">
                  <c:v>0.43243093547362355</c:v>
                </c:pt>
                <c:pt idx="7">
                  <c:v>3.7678082562765436</c:v>
                </c:pt>
                <c:pt idx="8">
                  <c:v>6.9303480906349693</c:v>
                </c:pt>
                <c:pt idx="9">
                  <c:v>1.8510674932655069</c:v>
                </c:pt>
                <c:pt idx="10">
                  <c:v>2.8409891953250956</c:v>
                </c:pt>
                <c:pt idx="11">
                  <c:v>22.831189651485243</c:v>
                </c:pt>
                <c:pt idx="12">
                  <c:v>8.5317333222009442</c:v>
                </c:pt>
              </c:numCache>
            </c:numRef>
          </c:val>
          <c:smooth val="0"/>
        </c:ser>
        <c:dLbls>
          <c:showLegendKey val="0"/>
          <c:showVal val="0"/>
          <c:showCatName val="0"/>
          <c:showSerName val="0"/>
          <c:showPercent val="0"/>
          <c:showBubbleSize val="0"/>
        </c:dLbls>
        <c:hiLowLines>
          <c:spPr>
            <a:ln w="28575" cap="sq"/>
          </c:spPr>
        </c:hiLowLines>
        <c:axId val="397099600"/>
        <c:axId val="397098424"/>
      </c:stockChart>
      <c:catAx>
        <c:axId val="397099600"/>
        <c:scaling>
          <c:orientation val="minMax"/>
        </c:scaling>
        <c:delete val="0"/>
        <c:axPos val="b"/>
        <c:numFmt formatCode="General" sourceLinked="0"/>
        <c:majorTickMark val="out"/>
        <c:minorTickMark val="none"/>
        <c:tickLblPos val="low"/>
        <c:txPr>
          <a:bodyPr/>
          <a:lstStyle/>
          <a:p>
            <a:pPr>
              <a:defRPr sz="1200"/>
            </a:pPr>
            <a:endParaRPr lang="nb-NO"/>
          </a:p>
        </c:txPr>
        <c:crossAx val="397098424"/>
        <c:crosses val="autoZero"/>
        <c:auto val="1"/>
        <c:lblAlgn val="ctr"/>
        <c:lblOffset val="100"/>
        <c:noMultiLvlLbl val="0"/>
      </c:catAx>
      <c:valAx>
        <c:axId val="397098424"/>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397099600"/>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nb-NO" sz="2000" b="1" i="0" u="none" strike="noStrike" baseline="0">
                <a:effectLst/>
              </a:rPr>
              <a:t>Kulturbygning</a:t>
            </a:r>
            <a:endParaRPr lang="nb-NO" sz="2000" b="1"/>
          </a:p>
        </c:rich>
      </c:tx>
      <c:overlay val="0"/>
    </c:title>
    <c:autoTitleDeleted val="0"/>
    <c:plotArea>
      <c:layout>
        <c:manualLayout>
          <c:layoutTarget val="inner"/>
          <c:xMode val="edge"/>
          <c:yMode val="edge"/>
          <c:x val="9.6627986194393306E-2"/>
          <c:y val="0.15233917739954395"/>
          <c:w val="0.84852464438852271"/>
          <c:h val="0.53351038115327776"/>
        </c:manualLayout>
      </c:layout>
      <c:stockChart>
        <c:ser>
          <c:idx val="0"/>
          <c:order val="0"/>
          <c:tx>
            <c:strRef>
              <c:f>'16 LCOE'!$C$317</c:f>
              <c:strCache>
                <c:ptCount val="1"/>
                <c:pt idx="0">
                  <c:v>Lav</c:v>
                </c:pt>
              </c:strCache>
            </c:strRef>
          </c:tx>
          <c:spPr>
            <a:ln w="28575">
              <a:noFill/>
            </a:ln>
          </c:spPr>
          <c:marker>
            <c:symbol val="dash"/>
            <c:size val="16"/>
            <c:spPr>
              <a:solidFill>
                <a:schemeClr val="bg1">
                  <a:lumMod val="75000"/>
                </a:schemeClr>
              </a:solidFill>
              <a:ln>
                <a:noFill/>
              </a:ln>
            </c:spPr>
          </c:marker>
          <c:cat>
            <c:strRef>
              <c:f>'16 LCOE'!$D$316:$P$316</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LCOE'!$D$317:$P$317</c:f>
              <c:numCache>
                <c:formatCode>#\ ##0.0</c:formatCode>
                <c:ptCount val="13"/>
                <c:pt idx="0" formatCode="#\ ##0.0;\-#\ ##0.0">
                  <c:v>0.60702325368392562</c:v>
                </c:pt>
                <c:pt idx="1">
                  <c:v>0.88589449579711033</c:v>
                </c:pt>
                <c:pt idx="2">
                  <c:v>1.4850173163984415</c:v>
                </c:pt>
                <c:pt idx="3">
                  <c:v>2.5392287351624012</c:v>
                </c:pt>
                <c:pt idx="4">
                  <c:v>0.12607962028164621</c:v>
                </c:pt>
                <c:pt idx="5">
                  <c:v>0.20593887556508314</c:v>
                </c:pt>
                <c:pt idx="6">
                  <c:v>0.31469717050734619</c:v>
                </c:pt>
                <c:pt idx="7">
                  <c:v>0.2381539180854049</c:v>
                </c:pt>
                <c:pt idx="8">
                  <c:v>2.5182962353043705</c:v>
                </c:pt>
                <c:pt idx="9">
                  <c:v>1.6325208047800941</c:v>
                </c:pt>
                <c:pt idx="10">
                  <c:v>1.495897240851508E-2</c:v>
                </c:pt>
                <c:pt idx="11">
                  <c:v>0.50431595463234824</c:v>
                </c:pt>
                <c:pt idx="12">
                  <c:v>0.49601587462091806</c:v>
                </c:pt>
              </c:numCache>
            </c:numRef>
          </c:val>
          <c:smooth val="0"/>
        </c:ser>
        <c:ser>
          <c:idx val="1"/>
          <c:order val="1"/>
          <c:tx>
            <c:strRef>
              <c:f>'16 LCOE'!$C$318</c:f>
              <c:strCache>
                <c:ptCount val="1"/>
                <c:pt idx="0">
                  <c:v>Median</c:v>
                </c:pt>
              </c:strCache>
            </c:strRef>
          </c:tx>
          <c:spPr>
            <a:ln w="28575">
              <a:noFill/>
            </a:ln>
          </c:spPr>
          <c:marker>
            <c:symbol val="dash"/>
            <c:size val="16"/>
            <c:spPr>
              <a:solidFill>
                <a:schemeClr val="accent6"/>
              </a:solidFill>
              <a:ln>
                <a:noFill/>
              </a:ln>
            </c:spPr>
          </c:marker>
          <c:cat>
            <c:strRef>
              <c:f>'16 LCOE'!$D$316:$P$316</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LCOE'!$D$318:$P$318</c:f>
              <c:numCache>
                <c:formatCode>#\ ##0.0;\-#\ ##0.0</c:formatCode>
                <c:ptCount val="13"/>
                <c:pt idx="0">
                  <c:v>0.60702325368392562</c:v>
                </c:pt>
                <c:pt idx="1">
                  <c:v>0.88589449579711033</c:v>
                </c:pt>
                <c:pt idx="2">
                  <c:v>1.4850173163984415</c:v>
                </c:pt>
                <c:pt idx="3" formatCode="#\ ##0.0">
                  <c:v>3.162528431083055</c:v>
                </c:pt>
                <c:pt idx="4" formatCode="#\ ##0.0">
                  <c:v>0.62605418171785554</c:v>
                </c:pt>
                <c:pt idx="5" formatCode="#\ ##0.0">
                  <c:v>0.33990753356426501</c:v>
                </c:pt>
                <c:pt idx="6" formatCode="#\ ##0.0">
                  <c:v>0.46409885751588409</c:v>
                </c:pt>
                <c:pt idx="7" formatCode="#\ ##0.0">
                  <c:v>0.51170909426458588</c:v>
                </c:pt>
                <c:pt idx="8" formatCode="#\ ##0.0">
                  <c:v>5.3010652364094852</c:v>
                </c:pt>
                <c:pt idx="9" formatCode="#\ ##0.0">
                  <c:v>2.5268716777827707</c:v>
                </c:pt>
                <c:pt idx="10" formatCode="#\ ##0.0">
                  <c:v>0.24876676614380006</c:v>
                </c:pt>
                <c:pt idx="11" formatCode="#\ ##0.0">
                  <c:v>3.3850861980060221</c:v>
                </c:pt>
                <c:pt idx="12" formatCode="#\ ##0.0">
                  <c:v>7.1384789349031772</c:v>
                </c:pt>
              </c:numCache>
            </c:numRef>
          </c:val>
          <c:smooth val="0"/>
        </c:ser>
        <c:ser>
          <c:idx val="2"/>
          <c:order val="2"/>
          <c:tx>
            <c:strRef>
              <c:f>'16 LCOE'!$C$319</c:f>
              <c:strCache>
                <c:ptCount val="1"/>
                <c:pt idx="0">
                  <c:v>Høy</c:v>
                </c:pt>
              </c:strCache>
            </c:strRef>
          </c:tx>
          <c:spPr>
            <a:ln w="28575">
              <a:noFill/>
            </a:ln>
          </c:spPr>
          <c:marker>
            <c:symbol val="dash"/>
            <c:size val="15"/>
            <c:spPr>
              <a:solidFill>
                <a:schemeClr val="bg1">
                  <a:lumMod val="75000"/>
                </a:schemeClr>
              </a:solidFill>
              <a:ln>
                <a:noFill/>
              </a:ln>
            </c:spPr>
          </c:marker>
          <c:cat>
            <c:strRef>
              <c:f>'16 LCOE'!$D$316:$P$316</c:f>
              <c:strCache>
                <c:ptCount val="13"/>
                <c:pt idx="0">
                  <c:v>Etterisolering vegg</c:v>
                </c:pt>
                <c:pt idx="1">
                  <c:v>Etterisolering tak</c:v>
                </c:pt>
                <c:pt idx="2">
                  <c:v>Etterisolering gulv</c:v>
                </c:pt>
                <c:pt idx="3">
                  <c:v>Skifte vinduer og dører</c:v>
                </c:pt>
                <c:pt idx="4">
                  <c:v>Varmegjenvinning ventilasjon</c:v>
                </c:pt>
                <c:pt idx="5">
                  <c:v>Forbedring av SFP</c:v>
                </c:pt>
                <c:pt idx="6">
                  <c:v>Behovsstyring DCV</c:v>
                </c:pt>
                <c:pt idx="7">
                  <c:v>Natt- og helgesenkning</c:v>
                </c:pt>
                <c:pt idx="8">
                  <c:v>Energieffektivt belysningsutstyr</c:v>
                </c:pt>
                <c:pt idx="9">
                  <c:v>Styringssystem belysning</c:v>
                </c:pt>
                <c:pt idx="10">
                  <c:v>Energioppfølgingssystem (EOS)</c:v>
                </c:pt>
                <c:pt idx="11">
                  <c:v>SD-anlegg</c:v>
                </c:pt>
                <c:pt idx="12">
                  <c:v>Automatisk solskjerming</c:v>
                </c:pt>
              </c:strCache>
            </c:strRef>
          </c:cat>
          <c:val>
            <c:numRef>
              <c:f>'16 LCOE'!$D$319:$P$319</c:f>
              <c:numCache>
                <c:formatCode>#\ ##0.0</c:formatCode>
                <c:ptCount val="13"/>
                <c:pt idx="0" formatCode="#\ ##0.0;\-#\ ##0.0">
                  <c:v>1.7745057252748946</c:v>
                </c:pt>
                <c:pt idx="1">
                  <c:v>2.7544676029971091</c:v>
                </c:pt>
                <c:pt idx="2">
                  <c:v>9.2094097140988787</c:v>
                </c:pt>
                <c:pt idx="3">
                  <c:v>6.154334540239665</c:v>
                </c:pt>
                <c:pt idx="4">
                  <c:v>5.4895066670628792</c:v>
                </c:pt>
                <c:pt idx="5">
                  <c:v>5.4895066670628792</c:v>
                </c:pt>
                <c:pt idx="6">
                  <c:v>0.9381600465281823</c:v>
                </c:pt>
                <c:pt idx="7">
                  <c:v>1.8895445596596501</c:v>
                </c:pt>
                <c:pt idx="8">
                  <c:v>17.021907591033258</c:v>
                </c:pt>
                <c:pt idx="9">
                  <c:v>8.9681028553035773</c:v>
                </c:pt>
                <c:pt idx="10">
                  <c:v>3.2844348096795573</c:v>
                </c:pt>
                <c:pt idx="11">
                  <c:v>19.839304806685877</c:v>
                </c:pt>
                <c:pt idx="12">
                  <c:v>15.268989619048192</c:v>
                </c:pt>
              </c:numCache>
            </c:numRef>
          </c:val>
          <c:smooth val="0"/>
        </c:ser>
        <c:dLbls>
          <c:showLegendKey val="0"/>
          <c:showVal val="0"/>
          <c:showCatName val="0"/>
          <c:showSerName val="0"/>
          <c:showPercent val="0"/>
          <c:showBubbleSize val="0"/>
        </c:dLbls>
        <c:hiLowLines>
          <c:spPr>
            <a:ln w="28575" cap="sq"/>
          </c:spPr>
        </c:hiLowLines>
        <c:axId val="397097640"/>
        <c:axId val="397098032"/>
      </c:stockChart>
      <c:catAx>
        <c:axId val="397097640"/>
        <c:scaling>
          <c:orientation val="minMax"/>
        </c:scaling>
        <c:delete val="0"/>
        <c:axPos val="b"/>
        <c:numFmt formatCode="General" sourceLinked="0"/>
        <c:majorTickMark val="out"/>
        <c:minorTickMark val="none"/>
        <c:tickLblPos val="low"/>
        <c:txPr>
          <a:bodyPr/>
          <a:lstStyle/>
          <a:p>
            <a:pPr>
              <a:defRPr sz="1200"/>
            </a:pPr>
            <a:endParaRPr lang="nb-NO"/>
          </a:p>
        </c:txPr>
        <c:crossAx val="397098032"/>
        <c:crosses val="autoZero"/>
        <c:auto val="1"/>
        <c:lblAlgn val="ctr"/>
        <c:lblOffset val="100"/>
        <c:noMultiLvlLbl val="0"/>
      </c:catAx>
      <c:valAx>
        <c:axId val="397098032"/>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 ##0.0;\-#\ ##0.0" sourceLinked="1"/>
        <c:majorTickMark val="none"/>
        <c:minorTickMark val="none"/>
        <c:tickLblPos val="nextTo"/>
        <c:txPr>
          <a:bodyPr/>
          <a:lstStyle/>
          <a:p>
            <a:pPr>
              <a:defRPr sz="1200"/>
            </a:pPr>
            <a:endParaRPr lang="nb-NO"/>
          </a:p>
        </c:txPr>
        <c:crossAx val="397097640"/>
        <c:crosses val="autoZero"/>
        <c:crossBetween val="between"/>
      </c:valAx>
      <c:spPr>
        <a:solidFill>
          <a:schemeClr val="bg1">
            <a:lumMod val="95000"/>
          </a:schemeClr>
        </a:solidFill>
        <a:effectLst/>
      </c:spPr>
    </c:plotArea>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Samlefigur!$B$5:$B$144</c:f>
              <c:numCache>
                <c:formatCode>#\ ##0.0</c:formatCode>
                <c:ptCount val="140"/>
                <c:pt idx="0">
                  <c:v>0</c:v>
                </c:pt>
                <c:pt idx="1">
                  <c:v>8.6960974157277771E-2</c:v>
                </c:pt>
                <c:pt idx="2">
                  <c:v>0.11240336061814798</c:v>
                </c:pt>
                <c:pt idx="3">
                  <c:v>0.12354087021011309</c:v>
                </c:pt>
                <c:pt idx="4">
                  <c:v>0.14710745404398298</c:v>
                </c:pt>
                <c:pt idx="5">
                  <c:v>0.15106235119751446</c:v>
                </c:pt>
                <c:pt idx="6">
                  <c:v>0.16152725040343038</c:v>
                </c:pt>
                <c:pt idx="7">
                  <c:v>0.16858892233092845</c:v>
                </c:pt>
                <c:pt idx="8">
                  <c:v>0.17438162190155496</c:v>
                </c:pt>
                <c:pt idx="9">
                  <c:v>0.17523178647555013</c:v>
                </c:pt>
                <c:pt idx="10">
                  <c:v>0.17581106510852715</c:v>
                </c:pt>
                <c:pt idx="11">
                  <c:v>0.18122425720691554</c:v>
                </c:pt>
                <c:pt idx="12">
                  <c:v>0.18707896319341624</c:v>
                </c:pt>
                <c:pt idx="13">
                  <c:v>0.19534275737737913</c:v>
                </c:pt>
                <c:pt idx="14">
                  <c:v>0.19814672040193529</c:v>
                </c:pt>
                <c:pt idx="15">
                  <c:v>0.21541047887648596</c:v>
                </c:pt>
                <c:pt idx="16">
                  <c:v>0.2402581028507946</c:v>
                </c:pt>
                <c:pt idx="17">
                  <c:v>0.27425605671526088</c:v>
                </c:pt>
                <c:pt idx="18">
                  <c:v>0.28254254575831439</c:v>
                </c:pt>
                <c:pt idx="19">
                  <c:v>0.28418315295214208</c:v>
                </c:pt>
                <c:pt idx="20">
                  <c:v>0.31213450305156021</c:v>
                </c:pt>
                <c:pt idx="21">
                  <c:v>0.32120626254629464</c:v>
                </c:pt>
                <c:pt idx="22">
                  <c:v>0.34014508882139155</c:v>
                </c:pt>
                <c:pt idx="23">
                  <c:v>0.3580858505111093</c:v>
                </c:pt>
                <c:pt idx="24">
                  <c:v>0.35899523461056454</c:v>
                </c:pt>
                <c:pt idx="25">
                  <c:v>0.37185911719735759</c:v>
                </c:pt>
                <c:pt idx="26">
                  <c:v>0.40767990022978384</c:v>
                </c:pt>
                <c:pt idx="27">
                  <c:v>0.40829922657431528</c:v>
                </c:pt>
                <c:pt idx="28">
                  <c:v>0.41235939110672926</c:v>
                </c:pt>
                <c:pt idx="29">
                  <c:v>0.42978302735067453</c:v>
                </c:pt>
                <c:pt idx="30">
                  <c:v>0.43856474115628302</c:v>
                </c:pt>
                <c:pt idx="31">
                  <c:v>0.45847412901192125</c:v>
                </c:pt>
                <c:pt idx="32">
                  <c:v>0.4618926529199151</c:v>
                </c:pt>
                <c:pt idx="33">
                  <c:v>0.48154261120935321</c:v>
                </c:pt>
                <c:pt idx="34">
                  <c:v>0.48355552451620359</c:v>
                </c:pt>
                <c:pt idx="35">
                  <c:v>0.48435864987139682</c:v>
                </c:pt>
                <c:pt idx="36">
                  <c:v>0.49217088615964594</c:v>
                </c:pt>
                <c:pt idx="37">
                  <c:v>0.5242109438481577</c:v>
                </c:pt>
                <c:pt idx="38">
                  <c:v>0.54340332291874083</c:v>
                </c:pt>
                <c:pt idx="39">
                  <c:v>0.59160949377149175</c:v>
                </c:pt>
                <c:pt idx="40">
                  <c:v>0.61809947110454333</c:v>
                </c:pt>
                <c:pt idx="41">
                  <c:v>0.62746461460612724</c:v>
                </c:pt>
                <c:pt idx="42">
                  <c:v>0.66265016322590831</c:v>
                </c:pt>
                <c:pt idx="43">
                  <c:v>0.67445296115684583</c:v>
                </c:pt>
                <c:pt idx="44">
                  <c:v>0.67840483397612483</c:v>
                </c:pt>
                <c:pt idx="45">
                  <c:v>0.78556225508589017</c:v>
                </c:pt>
                <c:pt idx="46">
                  <c:v>0.80051697570915104</c:v>
                </c:pt>
                <c:pt idx="47">
                  <c:v>0.8114083631337663</c:v>
                </c:pt>
                <c:pt idx="48">
                  <c:v>0.82940227039740022</c:v>
                </c:pt>
                <c:pt idx="49">
                  <c:v>0.9542162350453085</c:v>
                </c:pt>
                <c:pt idx="50">
                  <c:v>1.0337597470112383</c:v>
                </c:pt>
                <c:pt idx="51">
                  <c:v>1.0353269702240651</c:v>
                </c:pt>
                <c:pt idx="52">
                  <c:v>1.1025607757876457</c:v>
                </c:pt>
                <c:pt idx="53">
                  <c:v>1.1640190180823586</c:v>
                </c:pt>
                <c:pt idx="54">
                  <c:v>1.2599686202182729</c:v>
                </c:pt>
                <c:pt idx="55">
                  <c:v>1.2676643001490955</c:v>
                </c:pt>
                <c:pt idx="56">
                  <c:v>1.2871621875611194</c:v>
                </c:pt>
                <c:pt idx="57">
                  <c:v>1.3522998054384678</c:v>
                </c:pt>
                <c:pt idx="58">
                  <c:v>1.3720572169939715</c:v>
                </c:pt>
                <c:pt idx="59">
                  <c:v>1.3869422021007443</c:v>
                </c:pt>
                <c:pt idx="60" formatCode="#\ ##0.0;\-#\ ##0.0">
                  <c:v>1.4250065886439698</c:v>
                </c:pt>
                <c:pt idx="61">
                  <c:v>1.4371728005266351</c:v>
                </c:pt>
                <c:pt idx="62" formatCode="#\ ##0.0;\-#\ ##0.0">
                  <c:v>1.4439176435975241</c:v>
                </c:pt>
                <c:pt idx="63">
                  <c:v>1.6463361617810102</c:v>
                </c:pt>
                <c:pt idx="64">
                  <c:v>1.6473409963001868</c:v>
                </c:pt>
                <c:pt idx="65">
                  <c:v>1.6721078885139722</c:v>
                </c:pt>
                <c:pt idx="66" formatCode="#\ ##0.0;\-#\ ##0.0">
                  <c:v>1.7200508311744429</c:v>
                </c:pt>
                <c:pt idx="67" formatCode="#\ ##0.0;\-#\ ##0.0">
                  <c:v>1.7516155200670607</c:v>
                </c:pt>
                <c:pt idx="68" formatCode="#\ ##0.0;\-#\ ##0.0">
                  <c:v>1.76025981164346</c:v>
                </c:pt>
                <c:pt idx="69" formatCode="#\ ##0.0;\-#\ ##0.0">
                  <c:v>1.8669422244703355</c:v>
                </c:pt>
                <c:pt idx="70">
                  <c:v>1.8838187759354785</c:v>
                </c:pt>
                <c:pt idx="71" formatCode="#\ ##0.0;\-#\ ##0.0">
                  <c:v>1.9112931779737268</c:v>
                </c:pt>
                <c:pt idx="72" formatCode="#\ ##0.0;\-#\ ##0.0">
                  <c:v>1.9530260158003798</c:v>
                </c:pt>
                <c:pt idx="73">
                  <c:v>2.0133448292846325</c:v>
                </c:pt>
                <c:pt idx="74">
                  <c:v>2.1091723582515383</c:v>
                </c:pt>
                <c:pt idx="75" formatCode="#\ ##0.0;\-#\ ##0.0">
                  <c:v>2.1307981341796194</c:v>
                </c:pt>
                <c:pt idx="76">
                  <c:v>2.3107908344162844</c:v>
                </c:pt>
                <c:pt idx="77">
                  <c:v>2.3471512137343855</c:v>
                </c:pt>
                <c:pt idx="78">
                  <c:v>2.4181316454763921</c:v>
                </c:pt>
                <c:pt idx="79" formatCode="#\ ##0.0;\-#\ ##0.0">
                  <c:v>2.4196840217539921</c:v>
                </c:pt>
                <c:pt idx="80">
                  <c:v>2.473989958850257</c:v>
                </c:pt>
                <c:pt idx="81">
                  <c:v>2.4918384306706822</c:v>
                </c:pt>
                <c:pt idx="82">
                  <c:v>2.5030773553268402</c:v>
                </c:pt>
                <c:pt idx="83" formatCode="#\ ##0.0;\-#\ ##0.0">
                  <c:v>2.5169479026206569</c:v>
                </c:pt>
                <c:pt idx="84">
                  <c:v>2.5208627284541358</c:v>
                </c:pt>
                <c:pt idx="85">
                  <c:v>2.5268716777827707</c:v>
                </c:pt>
                <c:pt idx="86">
                  <c:v>2.5996396887183302</c:v>
                </c:pt>
                <c:pt idx="87">
                  <c:v>2.6462572724081186</c:v>
                </c:pt>
                <c:pt idx="88">
                  <c:v>2.6519707393512588</c:v>
                </c:pt>
                <c:pt idx="89">
                  <c:v>2.6549511714570255</c:v>
                </c:pt>
                <c:pt idx="90">
                  <c:v>2.6616828252127349</c:v>
                </c:pt>
                <c:pt idx="91">
                  <c:v>2.7145477826638174</c:v>
                </c:pt>
                <c:pt idx="92">
                  <c:v>2.7189394597265188</c:v>
                </c:pt>
                <c:pt idx="93">
                  <c:v>2.7500320674045167</c:v>
                </c:pt>
                <c:pt idx="94">
                  <c:v>3.0012337205724409</c:v>
                </c:pt>
                <c:pt idx="95">
                  <c:v>3.0232611240261842</c:v>
                </c:pt>
                <c:pt idx="96">
                  <c:v>3.0855380385660505</c:v>
                </c:pt>
                <c:pt idx="97">
                  <c:v>3.0966244798590261</c:v>
                </c:pt>
                <c:pt idx="98">
                  <c:v>3.1504346321114145</c:v>
                </c:pt>
                <c:pt idx="99">
                  <c:v>3.162528431083055</c:v>
                </c:pt>
                <c:pt idx="100">
                  <c:v>3.1808442328074711</c:v>
                </c:pt>
                <c:pt idx="101">
                  <c:v>3.1988431520097125</c:v>
                </c:pt>
                <c:pt idx="102">
                  <c:v>3.20559788442465</c:v>
                </c:pt>
                <c:pt idx="103">
                  <c:v>3.225880646202238</c:v>
                </c:pt>
                <c:pt idx="104">
                  <c:v>3.249856632335836</c:v>
                </c:pt>
                <c:pt idx="105">
                  <c:v>3.2692010170521217</c:v>
                </c:pt>
                <c:pt idx="106">
                  <c:v>3.366039250503134</c:v>
                </c:pt>
                <c:pt idx="107">
                  <c:v>3.373906694394897</c:v>
                </c:pt>
                <c:pt idx="108">
                  <c:v>3.3764527716465524</c:v>
                </c:pt>
                <c:pt idx="109">
                  <c:v>3.4473698866848985</c:v>
                </c:pt>
                <c:pt idx="110">
                  <c:v>3.5164878400038462</c:v>
                </c:pt>
                <c:pt idx="111">
                  <c:v>3.6480992127201435</c:v>
                </c:pt>
                <c:pt idx="112">
                  <c:v>3.6587383157642761</c:v>
                </c:pt>
                <c:pt idx="113">
                  <c:v>3.6860789990923259</c:v>
                </c:pt>
                <c:pt idx="114">
                  <c:v>3.7237889314760442</c:v>
                </c:pt>
                <c:pt idx="115">
                  <c:v>3.9250321226554887</c:v>
                </c:pt>
                <c:pt idx="116" formatCode="#\ ##0.0;\-#\ ##0.0">
                  <c:v>3.9581090258175884</c:v>
                </c:pt>
                <c:pt idx="117">
                  <c:v>4.0266896585692642</c:v>
                </c:pt>
                <c:pt idx="118">
                  <c:v>4.1123420451447874</c:v>
                </c:pt>
                <c:pt idx="119">
                  <c:v>4.4881685325422414</c:v>
                </c:pt>
                <c:pt idx="120">
                  <c:v>4.624451164184789</c:v>
                </c:pt>
                <c:pt idx="121">
                  <c:v>5.00225259549656</c:v>
                </c:pt>
                <c:pt idx="122">
                  <c:v>5.4825752904852294</c:v>
                </c:pt>
                <c:pt idx="123">
                  <c:v>6.0697136344856926</c:v>
                </c:pt>
                <c:pt idx="124">
                  <c:v>6.7715177761277259</c:v>
                </c:pt>
                <c:pt idx="125">
                  <c:v>6.9465299567076677</c:v>
                </c:pt>
                <c:pt idx="126">
                  <c:v>7.5492385151323278</c:v>
                </c:pt>
                <c:pt idx="127">
                  <c:v>8.6396840784292053</c:v>
                </c:pt>
                <c:pt idx="128">
                  <c:v>9.04152984951895</c:v>
                </c:pt>
                <c:pt idx="129">
                  <c:v>9.3327540919621121</c:v>
                </c:pt>
                <c:pt idx="130">
                  <c:v>9.3683321332364748</c:v>
                </c:pt>
                <c:pt idx="131">
                  <c:v>9.719644588232855</c:v>
                </c:pt>
                <c:pt idx="132">
                  <c:v>9.9688662443413989</c:v>
                </c:pt>
                <c:pt idx="133">
                  <c:v>10.580276045586864</c:v>
                </c:pt>
                <c:pt idx="134">
                  <c:v>10.61081650103972</c:v>
                </c:pt>
                <c:pt idx="135">
                  <c:v>10.744311333115334</c:v>
                </c:pt>
                <c:pt idx="136">
                  <c:v>11.000128269618115</c:v>
                </c:pt>
                <c:pt idx="137">
                  <c:v>11.541877545780029</c:v>
                </c:pt>
                <c:pt idx="138">
                  <c:v>14.046349235074674</c:v>
                </c:pt>
                <c:pt idx="139">
                  <c:v>15.893660016242336</c:v>
                </c:pt>
              </c:numCache>
            </c:numRef>
          </c:yVal>
          <c:smooth val="0"/>
        </c:ser>
        <c:dLbls>
          <c:showLegendKey val="0"/>
          <c:showVal val="0"/>
          <c:showCatName val="0"/>
          <c:showSerName val="0"/>
          <c:showPercent val="0"/>
          <c:showBubbleSize val="0"/>
        </c:dLbls>
        <c:axId val="397101168"/>
        <c:axId val="397102736"/>
      </c:scatterChart>
      <c:valAx>
        <c:axId val="397101168"/>
        <c:scaling>
          <c:orientation val="minMax"/>
          <c:max val="14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nb-NO" sz="1200"/>
                  <a:t>Kombinasjon av tiltak og byggtype</a:t>
                </a:r>
              </a:p>
            </c:rich>
          </c:tx>
          <c:layout>
            <c:manualLayout>
              <c:xMode val="edge"/>
              <c:yMode val="edge"/>
              <c:x val="0.30668166666666669"/>
              <c:y val="0.9200958333333333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b-NO"/>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397102736"/>
        <c:crosses val="autoZero"/>
        <c:crossBetween val="midCat"/>
      </c:valAx>
      <c:valAx>
        <c:axId val="397102736"/>
        <c:scaling>
          <c:orientation val="minMax"/>
          <c:max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LCOE [kr/kWh]</a:t>
                </a:r>
              </a:p>
            </c:rich>
          </c:tx>
          <c:layout>
            <c:manualLayout>
              <c:xMode val="edge"/>
              <c:yMode val="edge"/>
              <c:x val="1.1759259259259259E-2"/>
              <c:y val="0.36204055555555553"/>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nb-N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b-NO"/>
          </a:p>
        </c:txPr>
        <c:crossAx val="397101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nb-NO" sz="1400"/>
              <a:t>Etterisolering gulv</a:t>
            </a:r>
          </a:p>
        </c:rich>
      </c:tx>
      <c:layout/>
      <c:overlay val="0"/>
    </c:title>
    <c:autoTitleDeleted val="0"/>
    <c:plotArea>
      <c:layout>
        <c:manualLayout>
          <c:layoutTarget val="inner"/>
          <c:xMode val="edge"/>
          <c:yMode val="edge"/>
          <c:x val="0.11309092592592593"/>
          <c:y val="0.11353361111111111"/>
          <c:w val="0.8320616666666667"/>
          <c:h val="0.64896972222222227"/>
        </c:manualLayout>
      </c:layout>
      <c:stockChart>
        <c:ser>
          <c:idx val="0"/>
          <c:order val="0"/>
          <c:tx>
            <c:strRef>
              <c:f>'16 LCOE'!$C$76</c:f>
              <c:strCache>
                <c:ptCount val="1"/>
                <c:pt idx="0">
                  <c:v>Lav</c:v>
                </c:pt>
              </c:strCache>
            </c:strRef>
          </c:tx>
          <c:spPr>
            <a:ln w="28575">
              <a:noFill/>
            </a:ln>
          </c:spPr>
          <c:marker>
            <c:symbol val="dash"/>
            <c:size val="16"/>
            <c:spPr>
              <a:solidFill>
                <a:schemeClr val="tx2">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LCOE'!$D$76:$O$76</c:f>
              <c:numCache>
                <c:formatCode>#\ ##0.0</c:formatCode>
                <c:ptCount val="12"/>
                <c:pt idx="0">
                  <c:v>1.5374607632936095</c:v>
                </c:pt>
                <c:pt idx="1">
                  <c:v>2.0731556178242871</c:v>
                </c:pt>
                <c:pt idx="2">
                  <c:v>1.4745237729833447</c:v>
                </c:pt>
                <c:pt idx="3">
                  <c:v>1.5341087979322747</c:v>
                </c:pt>
                <c:pt idx="4">
                  <c:v>1.6623328168639273</c:v>
                </c:pt>
                <c:pt idx="5">
                  <c:v>1.5091639394293126</c:v>
                </c:pt>
                <c:pt idx="6">
                  <c:v>1.4334143980679948</c:v>
                </c:pt>
                <c:pt idx="7">
                  <c:v>1.3376316455180464</c:v>
                </c:pt>
                <c:pt idx="8">
                  <c:v>1.6483286469586516</c:v>
                </c:pt>
                <c:pt idx="9">
                  <c:v>2.2058072569903748</c:v>
                </c:pt>
                <c:pt idx="10">
                  <c:v>1.4502122230453518</c:v>
                </c:pt>
                <c:pt idx="11">
                  <c:v>1.4850173163984415</c:v>
                </c:pt>
              </c:numCache>
            </c:numRef>
          </c:val>
          <c:smooth val="0"/>
        </c:ser>
        <c:ser>
          <c:idx val="2"/>
          <c:order val="1"/>
          <c:tx>
            <c:strRef>
              <c:f>'16 LCOE'!$C$77</c:f>
              <c:strCache>
                <c:ptCount val="1"/>
                <c:pt idx="0">
                  <c:v>Median</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LCOE'!$D$77:$O$77</c:f>
              <c:numCache>
                <c:formatCode>#\ ##0.0</c:formatCode>
                <c:ptCount val="12"/>
                <c:pt idx="0">
                  <c:v>10.721976171197403</c:v>
                </c:pt>
                <c:pt idx="1">
                  <c:v>10.759914625176108</c:v>
                </c:pt>
                <c:pt idx="2">
                  <c:v>10.88820835989813</c:v>
                </c:pt>
                <c:pt idx="3">
                  <c:v>9.9001154426562756</c:v>
                </c:pt>
                <c:pt idx="4">
                  <c:v>10.15396455657055</c:v>
                </c:pt>
                <c:pt idx="5">
                  <c:v>9.5422799447289286</c:v>
                </c:pt>
                <c:pt idx="6">
                  <c:v>8.8001026156944686</c:v>
                </c:pt>
                <c:pt idx="7">
                  <c:v>11.147451416086215</c:v>
                </c:pt>
                <c:pt idx="8">
                  <c:v>4.4881685325422414</c:v>
                </c:pt>
                <c:pt idx="9">
                  <c:v>6.0697136344856926</c:v>
                </c:pt>
                <c:pt idx="10">
                  <c:v>7.6894100525485776</c:v>
                </c:pt>
                <c:pt idx="11">
                  <c:v>9.2094097140988787</c:v>
                </c:pt>
              </c:numCache>
            </c:numRef>
          </c:val>
          <c:smooth val="0"/>
        </c:ser>
        <c:dLbls>
          <c:showLegendKey val="0"/>
          <c:showVal val="0"/>
          <c:showCatName val="0"/>
          <c:showSerName val="0"/>
          <c:showPercent val="0"/>
          <c:showBubbleSize val="0"/>
        </c:dLbls>
        <c:hiLowLines>
          <c:spPr>
            <a:ln w="28575" cap="sq"/>
          </c:spPr>
        </c:hiLowLines>
        <c:axId val="371688712"/>
        <c:axId val="371691456"/>
      </c:stockChart>
      <c:catAx>
        <c:axId val="371688712"/>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371691456"/>
        <c:crosses val="autoZero"/>
        <c:auto val="1"/>
        <c:lblAlgn val="ctr"/>
        <c:lblOffset val="100"/>
        <c:noMultiLvlLbl val="0"/>
      </c:catAx>
      <c:valAx>
        <c:axId val="371691456"/>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371688712"/>
        <c:crosses val="autoZero"/>
        <c:crossBetween val="between"/>
        <c:majorUnit val="1"/>
      </c:valAx>
      <c:spPr>
        <a:noFill/>
        <a:effectLst/>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nb-NO" sz="1400"/>
              <a:t>Skifte vinduer og dører</a:t>
            </a:r>
          </a:p>
        </c:rich>
      </c:tx>
      <c:layout/>
      <c:overlay val="0"/>
    </c:title>
    <c:autoTitleDeleted val="0"/>
    <c:plotArea>
      <c:layout>
        <c:manualLayout>
          <c:layoutTarget val="inner"/>
          <c:xMode val="edge"/>
          <c:yMode val="edge"/>
          <c:x val="0.10838722222222222"/>
          <c:y val="0.13117250000000003"/>
          <c:w val="0.84852464438852271"/>
          <c:h val="0.62789722222222211"/>
        </c:manualLayout>
      </c:layout>
      <c:stockChart>
        <c:ser>
          <c:idx val="0"/>
          <c:order val="0"/>
          <c:tx>
            <c:strRef>
              <c:f>'16 LCOE'!$C$95</c:f>
              <c:strCache>
                <c:ptCount val="1"/>
                <c:pt idx="0">
                  <c:v>Lav</c:v>
                </c:pt>
              </c:strCache>
            </c:strRef>
          </c:tx>
          <c:spPr>
            <a:ln w="28575">
              <a:noFill/>
            </a:ln>
          </c:spPr>
          <c:marker>
            <c:symbol val="dash"/>
            <c:size val="16"/>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LCOE'!$D$95:$O$95</c:f>
              <c:numCache>
                <c:formatCode>#\ ##0.0</c:formatCode>
                <c:ptCount val="12"/>
                <c:pt idx="0">
                  <c:v>1.8963038124486491</c:v>
                </c:pt>
                <c:pt idx="1">
                  <c:v>2.4839356471270415</c:v>
                </c:pt>
                <c:pt idx="2">
                  <c:v>2.1711706900949386</c:v>
                </c:pt>
                <c:pt idx="3">
                  <c:v>2.8245896787330347</c:v>
                </c:pt>
                <c:pt idx="4">
                  <c:v>2.4592198695436891</c:v>
                </c:pt>
                <c:pt idx="5">
                  <c:v>2.6671035635518776</c:v>
                </c:pt>
                <c:pt idx="6">
                  <c:v>2.6913059552356544</c:v>
                </c:pt>
                <c:pt idx="7">
                  <c:v>2.4715159688914055</c:v>
                </c:pt>
                <c:pt idx="8">
                  <c:v>2.5348881732219546</c:v>
                </c:pt>
                <c:pt idx="9">
                  <c:v>2.0039318666687072</c:v>
                </c:pt>
                <c:pt idx="10">
                  <c:v>2.6433325870496307</c:v>
                </c:pt>
                <c:pt idx="11">
                  <c:v>2.5392287351624012</c:v>
                </c:pt>
              </c:numCache>
            </c:numRef>
          </c:val>
          <c:smooth val="0"/>
        </c:ser>
        <c:ser>
          <c:idx val="1"/>
          <c:order val="1"/>
          <c:tx>
            <c:strRef>
              <c:f>'16 LCOE'!$C$96</c:f>
              <c:strCache>
                <c:ptCount val="1"/>
                <c:pt idx="0">
                  <c:v>Median</c:v>
                </c:pt>
              </c:strCache>
            </c:strRef>
          </c:tx>
          <c:spPr>
            <a:ln w="28575">
              <a:noFill/>
            </a:ln>
          </c:spPr>
          <c:marker>
            <c:symbol val="dash"/>
            <c:size val="16"/>
            <c:spPr>
              <a:solidFill>
                <a:schemeClr val="accent6"/>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LCOE'!$D$96:$O$96</c:f>
              <c:numCache>
                <c:formatCode>#\ ##0.0</c:formatCode>
                <c:ptCount val="12"/>
                <c:pt idx="0">
                  <c:v>2.7189394597265188</c:v>
                </c:pt>
                <c:pt idx="1">
                  <c:v>3.6860789990923259</c:v>
                </c:pt>
                <c:pt idx="2">
                  <c:v>3.1504346321114145</c:v>
                </c:pt>
                <c:pt idx="3">
                  <c:v>3.20559788442465</c:v>
                </c:pt>
                <c:pt idx="4">
                  <c:v>3.0012337205724409</c:v>
                </c:pt>
                <c:pt idx="5">
                  <c:v>3.1808442328074711</c:v>
                </c:pt>
                <c:pt idx="6">
                  <c:v>3.249856632335836</c:v>
                </c:pt>
                <c:pt idx="7">
                  <c:v>3.0232611240261842</c:v>
                </c:pt>
                <c:pt idx="8">
                  <c:v>3.0855380385660505</c:v>
                </c:pt>
                <c:pt idx="9">
                  <c:v>2.473989958850257</c:v>
                </c:pt>
                <c:pt idx="10">
                  <c:v>3.2692010170521217</c:v>
                </c:pt>
                <c:pt idx="11">
                  <c:v>3.162528431083055</c:v>
                </c:pt>
              </c:numCache>
            </c:numRef>
          </c:val>
          <c:smooth val="0"/>
        </c:ser>
        <c:ser>
          <c:idx val="2"/>
          <c:order val="2"/>
          <c:tx>
            <c:strRef>
              <c:f>'16 LCOE'!$C$97</c:f>
              <c:strCache>
                <c:ptCount val="1"/>
                <c:pt idx="0">
                  <c:v>Høy</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LCOE'!$D$97:$O$97</c:f>
              <c:numCache>
                <c:formatCode>#\ ##0.0</c:formatCode>
                <c:ptCount val="12"/>
                <c:pt idx="0">
                  <c:v>5.3556057065390181</c:v>
                </c:pt>
                <c:pt idx="1">
                  <c:v>7.0786118887738256</c:v>
                </c:pt>
                <c:pt idx="2">
                  <c:v>6.038940767610173</c:v>
                </c:pt>
                <c:pt idx="3">
                  <c:v>7.6381859511274959</c:v>
                </c:pt>
                <c:pt idx="4">
                  <c:v>6.2137011113673815</c:v>
                </c:pt>
                <c:pt idx="5">
                  <c:v>7.2376818188586372</c:v>
                </c:pt>
                <c:pt idx="6">
                  <c:v>6.9263836761120308</c:v>
                </c:pt>
                <c:pt idx="7">
                  <c:v>5.7685404347321061</c:v>
                </c:pt>
                <c:pt idx="8">
                  <c:v>5.6837089577507509</c:v>
                </c:pt>
                <c:pt idx="9">
                  <c:v>3.8882516008757659</c:v>
                </c:pt>
                <c:pt idx="10">
                  <c:v>7.1046361971884409</c:v>
                </c:pt>
                <c:pt idx="11">
                  <c:v>6.154334540239665</c:v>
                </c:pt>
              </c:numCache>
            </c:numRef>
          </c:val>
          <c:smooth val="0"/>
        </c:ser>
        <c:dLbls>
          <c:showLegendKey val="0"/>
          <c:showVal val="0"/>
          <c:showCatName val="0"/>
          <c:showSerName val="0"/>
          <c:showPercent val="0"/>
          <c:showBubbleSize val="0"/>
        </c:dLbls>
        <c:hiLowLines>
          <c:spPr>
            <a:ln w="28575" cap="sq"/>
          </c:spPr>
        </c:hiLowLines>
        <c:axId val="371691064"/>
        <c:axId val="371689496"/>
      </c:stockChart>
      <c:catAx>
        <c:axId val="371691064"/>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371689496"/>
        <c:crosses val="autoZero"/>
        <c:auto val="1"/>
        <c:lblAlgn val="ctr"/>
        <c:lblOffset val="100"/>
        <c:noMultiLvlLbl val="0"/>
      </c:catAx>
      <c:valAx>
        <c:axId val="371689496"/>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371691064"/>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nb-NO" sz="1400"/>
              <a:t>Varmegjenvinning ventilasjon</a:t>
            </a:r>
          </a:p>
        </c:rich>
      </c:tx>
      <c:layout/>
      <c:overlay val="0"/>
    </c:title>
    <c:autoTitleDeleted val="0"/>
    <c:plotArea>
      <c:layout>
        <c:manualLayout>
          <c:layoutTarget val="inner"/>
          <c:xMode val="edge"/>
          <c:yMode val="edge"/>
          <c:x val="0.12485018518518519"/>
          <c:y val="0.12764472222222223"/>
          <c:w val="0.83676537037037035"/>
          <c:h val="0.63485861111111108"/>
        </c:manualLayout>
      </c:layout>
      <c:stockChart>
        <c:ser>
          <c:idx val="0"/>
          <c:order val="0"/>
          <c:tx>
            <c:strRef>
              <c:f>'16 LCOE'!$C$114</c:f>
              <c:strCache>
                <c:ptCount val="1"/>
                <c:pt idx="0">
                  <c:v>Lav</c:v>
                </c:pt>
              </c:strCache>
            </c:strRef>
          </c:tx>
          <c:spPr>
            <a:ln w="28575">
              <a:noFill/>
            </a:ln>
          </c:spPr>
          <c:marker>
            <c:symbol val="dash"/>
            <c:size val="16"/>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LCOE'!$D$114:$O$114</c:f>
              <c:numCache>
                <c:formatCode>#\ ##0.0</c:formatCode>
                <c:ptCount val="12"/>
                <c:pt idx="0">
                  <c:v>2.5666325401241261</c:v>
                </c:pt>
                <c:pt idx="1">
                  <c:v>1.2534272166984721</c:v>
                </c:pt>
                <c:pt idx="2">
                  <c:v>0.12064849817720615</c:v>
                </c:pt>
                <c:pt idx="3">
                  <c:v>0.13929222702519356</c:v>
                </c:pt>
                <c:pt idx="4">
                  <c:v>9.6936370599733021E-2</c:v>
                </c:pt>
                <c:pt idx="5">
                  <c:v>0.10698707205345701</c:v>
                </c:pt>
                <c:pt idx="6" formatCode="#,##0.00">
                  <c:v>4.6679478461419045E-2</c:v>
                </c:pt>
                <c:pt idx="7" formatCode="#,##0.00">
                  <c:v>4.6623973730787159E-2</c:v>
                </c:pt>
                <c:pt idx="8">
                  <c:v>7.8736469693959824E-2</c:v>
                </c:pt>
                <c:pt idx="9">
                  <c:v>0.11187093268927811</c:v>
                </c:pt>
                <c:pt idx="10">
                  <c:v>5.9275528204976585E-2</c:v>
                </c:pt>
                <c:pt idx="11">
                  <c:v>0.12607962028164621</c:v>
                </c:pt>
              </c:numCache>
            </c:numRef>
          </c:val>
          <c:smooth val="0"/>
        </c:ser>
        <c:ser>
          <c:idx val="1"/>
          <c:order val="1"/>
          <c:tx>
            <c:strRef>
              <c:f>'16 LCOE'!$C$115</c:f>
              <c:strCache>
                <c:ptCount val="1"/>
                <c:pt idx="0">
                  <c:v>Median</c:v>
                </c:pt>
              </c:strCache>
            </c:strRef>
          </c:tx>
          <c:spPr>
            <a:ln w="28575">
              <a:noFill/>
            </a:ln>
          </c:spPr>
          <c:marker>
            <c:symbol val="dash"/>
            <c:size val="16"/>
            <c:spPr>
              <a:solidFill>
                <a:schemeClr val="accent6"/>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LCOE'!$D$115:$O$115</c:f>
              <c:numCache>
                <c:formatCode>#\ ##0.0</c:formatCode>
                <c:ptCount val="12"/>
                <c:pt idx="0">
                  <c:v>3.4136978691854249</c:v>
                </c:pt>
                <c:pt idx="1">
                  <c:v>1.5208478753188963</c:v>
                </c:pt>
                <c:pt idx="2">
                  <c:v>0.65408645851119207</c:v>
                </c:pt>
                <c:pt idx="3">
                  <c:v>0.66399685939772524</c:v>
                </c:pt>
                <c:pt idx="4">
                  <c:v>0.51255897918420934</c:v>
                </c:pt>
                <c:pt idx="5">
                  <c:v>0.5095789851191842</c:v>
                </c:pt>
                <c:pt idx="6">
                  <c:v>0.20671600339740492</c:v>
                </c:pt>
                <c:pt idx="7">
                  <c:v>0.22795210777763275</c:v>
                </c:pt>
                <c:pt idx="8">
                  <c:v>0.35994901618275066</c:v>
                </c:pt>
                <c:pt idx="9">
                  <c:v>0.55473155342088509</c:v>
                </c:pt>
                <c:pt idx="10">
                  <c:v>0.2902237928493368</c:v>
                </c:pt>
                <c:pt idx="11">
                  <c:v>0.62605418171785554</c:v>
                </c:pt>
              </c:numCache>
            </c:numRef>
          </c:val>
          <c:smooth val="0"/>
        </c:ser>
        <c:ser>
          <c:idx val="2"/>
          <c:order val="2"/>
          <c:tx>
            <c:strRef>
              <c:f>'16 LCOE'!$C$116</c:f>
              <c:strCache>
                <c:ptCount val="1"/>
                <c:pt idx="0">
                  <c:v>Høy</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LCOE'!$D$116:$O$116</c:f>
              <c:numCache>
                <c:formatCode>#\ ##0.0</c:formatCode>
                <c:ptCount val="12"/>
                <c:pt idx="0">
                  <c:v>4.4745416353804837</c:v>
                </c:pt>
                <c:pt idx="1">
                  <c:v>1.9848953865470478</c:v>
                </c:pt>
                <c:pt idx="2">
                  <c:v>5.4895066670628792</c:v>
                </c:pt>
                <c:pt idx="3">
                  <c:v>5.3995147544880835</c:v>
                </c:pt>
                <c:pt idx="4">
                  <c:v>4.3338210529443826</c:v>
                </c:pt>
                <c:pt idx="5">
                  <c:v>4.11713000029716</c:v>
                </c:pt>
                <c:pt idx="6">
                  <c:v>1.5911613527718502</c:v>
                </c:pt>
                <c:pt idx="7">
                  <c:v>1.7154708334571509</c:v>
                </c:pt>
                <c:pt idx="8">
                  <c:v>2.9942763638524799</c:v>
                </c:pt>
                <c:pt idx="9">
                  <c:v>3.1368609526073601</c:v>
                </c:pt>
                <c:pt idx="10">
                  <c:v>2.5142778627768925</c:v>
                </c:pt>
                <c:pt idx="11">
                  <c:v>5.4895066670628792</c:v>
                </c:pt>
              </c:numCache>
            </c:numRef>
          </c:val>
          <c:smooth val="0"/>
        </c:ser>
        <c:dLbls>
          <c:showLegendKey val="0"/>
          <c:showVal val="0"/>
          <c:showCatName val="0"/>
          <c:showSerName val="0"/>
          <c:showPercent val="0"/>
          <c:showBubbleSize val="0"/>
        </c:dLbls>
        <c:hiLowLines>
          <c:spPr>
            <a:ln w="28575" cap="sq"/>
          </c:spPr>
        </c:hiLowLines>
        <c:axId val="371688320"/>
        <c:axId val="371690280"/>
      </c:stockChart>
      <c:catAx>
        <c:axId val="371688320"/>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371690280"/>
        <c:crosses val="autoZero"/>
        <c:auto val="1"/>
        <c:lblAlgn val="ctr"/>
        <c:lblOffset val="100"/>
        <c:noMultiLvlLbl val="0"/>
      </c:catAx>
      <c:valAx>
        <c:axId val="371690280"/>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0" sourceLinked="0"/>
        <c:majorTickMark val="none"/>
        <c:minorTickMark val="none"/>
        <c:tickLblPos val="nextTo"/>
        <c:txPr>
          <a:bodyPr/>
          <a:lstStyle/>
          <a:p>
            <a:pPr>
              <a:defRPr sz="1200"/>
            </a:pPr>
            <a:endParaRPr lang="nb-NO"/>
          </a:p>
        </c:txPr>
        <c:crossAx val="371688320"/>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nb-NO" sz="1400"/>
              <a:t>Forbedring SFP</a:t>
            </a:r>
          </a:p>
        </c:rich>
      </c:tx>
      <c:layout/>
      <c:overlay val="0"/>
    </c:title>
    <c:autoTitleDeleted val="0"/>
    <c:plotArea>
      <c:layout>
        <c:manualLayout>
          <c:layoutTarget val="inner"/>
          <c:xMode val="edge"/>
          <c:yMode val="edge"/>
          <c:x val="9.6627986194393306E-2"/>
          <c:y val="0.12411694444444445"/>
          <c:w val="0.84852464438852271"/>
          <c:h val="0.63838638888888888"/>
        </c:manualLayout>
      </c:layout>
      <c:stockChart>
        <c:ser>
          <c:idx val="0"/>
          <c:order val="0"/>
          <c:tx>
            <c:strRef>
              <c:f>'16 LCOE'!$C$133</c:f>
              <c:strCache>
                <c:ptCount val="1"/>
                <c:pt idx="0">
                  <c:v>Lav</c:v>
                </c:pt>
              </c:strCache>
            </c:strRef>
          </c:tx>
          <c:spPr>
            <a:ln w="28575">
              <a:noFill/>
            </a:ln>
          </c:spPr>
          <c:marker>
            <c:symbol val="dash"/>
            <c:size val="16"/>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LCOE'!$F$133:$O$133</c:f>
              <c:numCache>
                <c:formatCode>#\ ##0.0</c:formatCode>
                <c:ptCount val="10"/>
                <c:pt idx="0">
                  <c:v>0.2883144257911176</c:v>
                </c:pt>
                <c:pt idx="1">
                  <c:v>0.23298135417464103</c:v>
                </c:pt>
                <c:pt idx="2">
                  <c:v>0.2745851674201128</c:v>
                </c:pt>
                <c:pt idx="3">
                  <c:v>0.1787996439014686</c:v>
                </c:pt>
                <c:pt idx="4">
                  <c:v>8.0930365134348814E-2</c:v>
                </c:pt>
                <c:pt idx="5">
                  <c:v>0.11889254671798678</c:v>
                </c:pt>
                <c:pt idx="6">
                  <c:v>0.13180088036165377</c:v>
                </c:pt>
                <c:pt idx="7">
                  <c:v>0.31596101456561032</c:v>
                </c:pt>
                <c:pt idx="8">
                  <c:v>9.6506920766901386E-2</c:v>
                </c:pt>
                <c:pt idx="9">
                  <c:v>0.20593887556508314</c:v>
                </c:pt>
              </c:numCache>
            </c:numRef>
          </c:val>
          <c:smooth val="0"/>
        </c:ser>
        <c:ser>
          <c:idx val="1"/>
          <c:order val="1"/>
          <c:tx>
            <c:strRef>
              <c:f>'16 LCOE'!$C$134</c:f>
              <c:strCache>
                <c:ptCount val="1"/>
                <c:pt idx="0">
                  <c:v>Median</c:v>
                </c:pt>
              </c:strCache>
            </c:strRef>
          </c:tx>
          <c:spPr>
            <a:ln w="28575">
              <a:noFill/>
            </a:ln>
          </c:spPr>
          <c:marker>
            <c:symbol val="dash"/>
            <c:size val="16"/>
            <c:spPr>
              <a:solidFill>
                <a:schemeClr val="accent6"/>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LCOE'!$F$134:$O$134</c:f>
              <c:numCache>
                <c:formatCode>#\ ##0.0</c:formatCode>
                <c:ptCount val="10"/>
                <c:pt idx="0">
                  <c:v>0.45480585476908553</c:v>
                </c:pt>
                <c:pt idx="1">
                  <c:v>0.37989665516006088</c:v>
                </c:pt>
                <c:pt idx="2">
                  <c:v>0.4363677795757453</c:v>
                </c:pt>
                <c:pt idx="3">
                  <c:v>0.298992737857455</c:v>
                </c:pt>
                <c:pt idx="4">
                  <c:v>0.13073366675548631</c:v>
                </c:pt>
                <c:pt idx="5">
                  <c:v>0.17840450656687976</c:v>
                </c:pt>
                <c:pt idx="6">
                  <c:v>0.20968321875717677</c:v>
                </c:pt>
                <c:pt idx="7">
                  <c:v>0.52082605949363292</c:v>
                </c:pt>
                <c:pt idx="8">
                  <c:v>0.15985750340893617</c:v>
                </c:pt>
                <c:pt idx="9">
                  <c:v>0.33990753356426501</c:v>
                </c:pt>
              </c:numCache>
            </c:numRef>
          </c:val>
          <c:smooth val="0"/>
        </c:ser>
        <c:ser>
          <c:idx val="2"/>
          <c:order val="2"/>
          <c:tx>
            <c:strRef>
              <c:f>'16 LCOE'!$C$135</c:f>
              <c:strCache>
                <c:ptCount val="1"/>
                <c:pt idx="0">
                  <c:v>Høy</c:v>
                </c:pt>
              </c:strCache>
            </c:strRef>
          </c:tx>
          <c:spPr>
            <a:ln w="28575">
              <a:noFill/>
            </a:ln>
          </c:spPr>
          <c:marker>
            <c:symbol val="dash"/>
            <c:size val="15"/>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LCOE'!$F$135:$O$135</c:f>
              <c:numCache>
                <c:formatCode>#\ ##0.0</c:formatCode>
                <c:ptCount val="10"/>
                <c:pt idx="0">
                  <c:v>6.8618833338285841</c:v>
                </c:pt>
                <c:pt idx="1">
                  <c:v>6.2145358495051672</c:v>
                </c:pt>
                <c:pt idx="2">
                  <c:v>6.4582431377210421</c:v>
                </c:pt>
                <c:pt idx="3">
                  <c:v>4.8436823532907889</c:v>
                </c:pt>
                <c:pt idx="4">
                  <c:v>2.0331506174306977</c:v>
                </c:pt>
                <c:pt idx="5">
                  <c:v>2.5336184617213293</c:v>
                </c:pt>
                <c:pt idx="6">
                  <c:v>3.3609224492221674</c:v>
                </c:pt>
                <c:pt idx="7">
                  <c:v>8.4453948724044796</c:v>
                </c:pt>
                <c:pt idx="8">
                  <c:v>2.5532589149129721</c:v>
                </c:pt>
                <c:pt idx="9">
                  <c:v>5.4895066670628792</c:v>
                </c:pt>
              </c:numCache>
            </c:numRef>
          </c:val>
          <c:smooth val="0"/>
        </c:ser>
        <c:dLbls>
          <c:showLegendKey val="0"/>
          <c:showVal val="0"/>
          <c:showCatName val="0"/>
          <c:showSerName val="0"/>
          <c:showPercent val="0"/>
          <c:showBubbleSize val="0"/>
        </c:dLbls>
        <c:hiLowLines>
          <c:spPr>
            <a:ln w="28575" cap="sq"/>
          </c:spPr>
        </c:hiLowLines>
        <c:axId val="371692632"/>
        <c:axId val="371693024"/>
      </c:stockChart>
      <c:catAx>
        <c:axId val="371692632"/>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371693024"/>
        <c:crosses val="autoZero"/>
        <c:auto val="1"/>
        <c:lblAlgn val="ctr"/>
        <c:lblOffset val="100"/>
        <c:noMultiLvlLbl val="0"/>
      </c:catAx>
      <c:valAx>
        <c:axId val="371693024"/>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371692632"/>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Energieffektivt belysningsutstyr</a:t>
            </a:r>
            <a:r>
              <a:rPr lang="nb-NO" sz="1400" b="1" i="0" u="none" strike="noStrike" baseline="0"/>
              <a:t> </a:t>
            </a:r>
            <a:endParaRPr lang="nb-NO" sz="1400" b="1"/>
          </a:p>
        </c:rich>
      </c:tx>
      <c:layout/>
      <c:overlay val="0"/>
    </c:title>
    <c:autoTitleDeleted val="0"/>
    <c:plotArea>
      <c:layout>
        <c:manualLayout>
          <c:layoutTarget val="inner"/>
          <c:xMode val="edge"/>
          <c:yMode val="edge"/>
          <c:x val="0.11073907407407407"/>
          <c:y val="0.12764472222222223"/>
          <c:w val="0.84852464438852271"/>
          <c:h val="0.63485861111111108"/>
        </c:manualLayout>
      </c:layout>
      <c:stockChart>
        <c:ser>
          <c:idx val="0"/>
          <c:order val="0"/>
          <c:tx>
            <c:strRef>
              <c:f>'16 LCOE'!$C$190</c:f>
              <c:strCache>
                <c:ptCount val="1"/>
                <c:pt idx="0">
                  <c:v>Lav</c:v>
                </c:pt>
              </c:strCache>
            </c:strRef>
          </c:tx>
          <c:spPr>
            <a:ln w="28575">
              <a:noFill/>
            </a:ln>
          </c:spPr>
          <c:marker>
            <c:symbol val="dash"/>
            <c:size val="16"/>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LCOE'!$F$190:$O$190</c:f>
              <c:numCache>
                <c:formatCode>#\ ##0.0</c:formatCode>
                <c:ptCount val="10"/>
                <c:pt idx="0">
                  <c:v>10.886439745990437</c:v>
                </c:pt>
                <c:pt idx="1">
                  <c:v>1.2171581196011692</c:v>
                </c:pt>
                <c:pt idx="2">
                  <c:v>10.126318784982789</c:v>
                </c:pt>
                <c:pt idx="3">
                  <c:v>1.5845913126173978</c:v>
                </c:pt>
                <c:pt idx="4">
                  <c:v>1.3103681048848559</c:v>
                </c:pt>
                <c:pt idx="5">
                  <c:v>7.92436187927873</c:v>
                </c:pt>
                <c:pt idx="6">
                  <c:v>0.66067305016684963</c:v>
                </c:pt>
                <c:pt idx="7">
                  <c:v>11.007245080048598</c:v>
                </c:pt>
                <c:pt idx="8">
                  <c:v>0.37280482288653799</c:v>
                </c:pt>
                <c:pt idx="9">
                  <c:v>2.5182962353043705</c:v>
                </c:pt>
              </c:numCache>
            </c:numRef>
          </c:val>
          <c:smooth val="0"/>
        </c:ser>
        <c:ser>
          <c:idx val="1"/>
          <c:order val="1"/>
          <c:tx>
            <c:strRef>
              <c:f>'16 LCOE'!$C$191</c:f>
              <c:strCache>
                <c:ptCount val="1"/>
                <c:pt idx="0">
                  <c:v>Median</c:v>
                </c:pt>
              </c:strCache>
            </c:strRef>
          </c:tx>
          <c:spPr>
            <a:ln w="28575">
              <a:noFill/>
            </a:ln>
          </c:spPr>
          <c:marker>
            <c:symbol val="dash"/>
            <c:size val="16"/>
            <c:spPr>
              <a:solidFill>
                <a:schemeClr val="accent6"/>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LCOE'!$F$191:$O$191</c:f>
              <c:numCache>
                <c:formatCode>#\ ##0.0</c:formatCode>
                <c:ptCount val="10"/>
                <c:pt idx="0">
                  <c:v>12.239107041243512</c:v>
                </c:pt>
                <c:pt idx="1">
                  <c:v>3.5800174115750187</c:v>
                </c:pt>
                <c:pt idx="2">
                  <c:v>14.899309128050984</c:v>
                </c:pt>
                <c:pt idx="3">
                  <c:v>3.8674796517407959</c:v>
                </c:pt>
                <c:pt idx="4">
                  <c:v>2.487651949117343</c:v>
                </c:pt>
                <c:pt idx="5">
                  <c:v>9.8920014061677186</c:v>
                </c:pt>
                <c:pt idx="6">
                  <c:v>1.9973433701249086</c:v>
                </c:pt>
                <c:pt idx="7">
                  <c:v>16.855476013364672</c:v>
                </c:pt>
                <c:pt idx="8">
                  <c:v>1.7463673373903525</c:v>
                </c:pt>
                <c:pt idx="9">
                  <c:v>5.3010652364094852</c:v>
                </c:pt>
              </c:numCache>
            </c:numRef>
          </c:val>
          <c:smooth val="0"/>
        </c:ser>
        <c:ser>
          <c:idx val="2"/>
          <c:order val="2"/>
          <c:tx>
            <c:strRef>
              <c:f>'16 LCOE'!$C$192</c:f>
              <c:strCache>
                <c:ptCount val="1"/>
                <c:pt idx="0">
                  <c:v>Høy</c:v>
                </c:pt>
              </c:strCache>
            </c:strRef>
          </c:tx>
          <c:spPr>
            <a:ln w="28575">
              <a:noFill/>
            </a:ln>
          </c:spPr>
          <c:marker>
            <c:symbol val="dash"/>
            <c:size val="15"/>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LCOE'!$F$192:$O$192</c:f>
              <c:numCache>
                <c:formatCode>#\ ##0.0</c:formatCode>
                <c:ptCount val="10"/>
                <c:pt idx="0">
                  <c:v>55.860309062511931</c:v>
                </c:pt>
                <c:pt idx="1">
                  <c:v>13.768778199204752</c:v>
                </c:pt>
                <c:pt idx="2">
                  <c:v>66.417197342631354</c:v>
                </c:pt>
                <c:pt idx="3">
                  <c:v>13.663335494045088</c:v>
                </c:pt>
                <c:pt idx="4">
                  <c:v>7.0262101228306184</c:v>
                </c:pt>
                <c:pt idx="5">
                  <c:v>37.366662925963013</c:v>
                </c:pt>
                <c:pt idx="6">
                  <c:v>11.459009431480174</c:v>
                </c:pt>
                <c:pt idx="7">
                  <c:v>49.276900639591403</c:v>
                </c:pt>
                <c:pt idx="8">
                  <c:v>6.9303480906349693</c:v>
                </c:pt>
                <c:pt idx="9">
                  <c:v>17.021907591033258</c:v>
                </c:pt>
              </c:numCache>
            </c:numRef>
          </c:val>
          <c:smooth val="0"/>
        </c:ser>
        <c:dLbls>
          <c:showLegendKey val="0"/>
          <c:showVal val="0"/>
          <c:showCatName val="0"/>
          <c:showSerName val="0"/>
          <c:showPercent val="0"/>
          <c:showBubbleSize val="0"/>
        </c:dLbls>
        <c:hiLowLines>
          <c:spPr>
            <a:ln w="28575" cap="sq"/>
          </c:spPr>
        </c:hiLowLines>
        <c:axId val="433490848"/>
        <c:axId val="433490456"/>
      </c:stockChart>
      <c:catAx>
        <c:axId val="433490848"/>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433490456"/>
        <c:crosses val="autoZero"/>
        <c:auto val="1"/>
        <c:lblAlgn val="ctr"/>
        <c:lblOffset val="100"/>
        <c:noMultiLvlLbl val="0"/>
      </c:catAx>
      <c:valAx>
        <c:axId val="433490456"/>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433490848"/>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Styringssystem belysning</a:t>
            </a:r>
            <a:r>
              <a:rPr lang="nb-NO" sz="1400" b="1" i="0" u="none" strike="noStrike" baseline="0"/>
              <a:t> </a:t>
            </a:r>
            <a:endParaRPr lang="nb-NO" sz="1400" b="1"/>
          </a:p>
        </c:rich>
      </c:tx>
      <c:layout/>
      <c:overlay val="0"/>
    </c:title>
    <c:autoTitleDeleted val="0"/>
    <c:plotArea>
      <c:layout>
        <c:manualLayout>
          <c:layoutTarget val="inner"/>
          <c:xMode val="edge"/>
          <c:yMode val="edge"/>
          <c:x val="0.11779462962962961"/>
          <c:y val="0.13117250000000003"/>
          <c:w val="0.84852464438852271"/>
          <c:h val="0.63133083333333329"/>
        </c:manualLayout>
      </c:layout>
      <c:stockChart>
        <c:ser>
          <c:idx val="0"/>
          <c:order val="0"/>
          <c:tx>
            <c:strRef>
              <c:f>'16 LCOE'!$C$209</c:f>
              <c:strCache>
                <c:ptCount val="1"/>
                <c:pt idx="0">
                  <c:v>Lav</c:v>
                </c:pt>
              </c:strCache>
            </c:strRef>
          </c:tx>
          <c:spPr>
            <a:ln w="28575">
              <a:noFill/>
            </a:ln>
          </c:spPr>
          <c:marker>
            <c:symbol val="dash"/>
            <c:size val="16"/>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LCOE'!$F$209:$O$209</c:f>
              <c:numCache>
                <c:formatCode>#\ ##0.0</c:formatCode>
                <c:ptCount val="10"/>
                <c:pt idx="0">
                  <c:v>4.9586777965097584</c:v>
                </c:pt>
                <c:pt idx="1">
                  <c:v>0.35364142149260158</c:v>
                </c:pt>
                <c:pt idx="2">
                  <c:v>2.9735491615787888</c:v>
                </c:pt>
                <c:pt idx="3">
                  <c:v>0.5538384771476752</c:v>
                </c:pt>
                <c:pt idx="4">
                  <c:v>0.56519434228088161</c:v>
                </c:pt>
                <c:pt idx="5">
                  <c:v>4.1642123134067068</c:v>
                </c:pt>
                <c:pt idx="6">
                  <c:v>0.15123554993844357</c:v>
                </c:pt>
                <c:pt idx="7">
                  <c:v>5.2366789376180636</c:v>
                </c:pt>
                <c:pt idx="8">
                  <c:v>9.587878734814366E-2</c:v>
                </c:pt>
                <c:pt idx="9">
                  <c:v>1.6325208047800941</c:v>
                </c:pt>
              </c:numCache>
            </c:numRef>
          </c:val>
          <c:smooth val="0"/>
        </c:ser>
        <c:ser>
          <c:idx val="1"/>
          <c:order val="1"/>
          <c:tx>
            <c:strRef>
              <c:f>'16 LCOE'!$C$210</c:f>
              <c:strCache>
                <c:ptCount val="1"/>
                <c:pt idx="0">
                  <c:v>Median</c:v>
                </c:pt>
              </c:strCache>
            </c:strRef>
          </c:tx>
          <c:spPr>
            <a:ln w="28575">
              <a:noFill/>
            </a:ln>
          </c:spPr>
          <c:marker>
            <c:symbol val="dash"/>
            <c:size val="16"/>
            <c:spPr>
              <a:solidFill>
                <a:schemeClr val="accent6"/>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LCOE'!$F$210:$O$210</c:f>
              <c:numCache>
                <c:formatCode>#\ ##0.0</c:formatCode>
                <c:ptCount val="10"/>
                <c:pt idx="0">
                  <c:v>3.9250321226554883</c:v>
                </c:pt>
                <c:pt idx="1">
                  <c:v>0.82940227039740022</c:v>
                </c:pt>
                <c:pt idx="2">
                  <c:v>3.373906694394897</c:v>
                </c:pt>
                <c:pt idx="3">
                  <c:v>1.0353269702240651</c:v>
                </c:pt>
                <c:pt idx="4">
                  <c:v>0.78556225508589017</c:v>
                </c:pt>
                <c:pt idx="5">
                  <c:v>3.4473698866848985</c:v>
                </c:pt>
                <c:pt idx="6">
                  <c:v>0.37185911719735759</c:v>
                </c:pt>
                <c:pt idx="7">
                  <c:v>6.9465299567076677</c:v>
                </c:pt>
                <c:pt idx="8">
                  <c:v>0.40829922657431517</c:v>
                </c:pt>
                <c:pt idx="9">
                  <c:v>2.5268716777827707</c:v>
                </c:pt>
              </c:numCache>
            </c:numRef>
          </c:val>
          <c:smooth val="0"/>
        </c:ser>
        <c:ser>
          <c:idx val="2"/>
          <c:order val="2"/>
          <c:tx>
            <c:strRef>
              <c:f>'16 LCOE'!$C$211</c:f>
              <c:strCache>
                <c:ptCount val="1"/>
                <c:pt idx="0">
                  <c:v>Høy</c:v>
                </c:pt>
              </c:strCache>
            </c:strRef>
          </c:tx>
          <c:spPr>
            <a:ln w="28575">
              <a:noFill/>
            </a:ln>
          </c:spPr>
          <c:marker>
            <c:symbol val="dash"/>
            <c:size val="15"/>
            <c:spPr>
              <a:solidFill>
                <a:schemeClr val="bg1">
                  <a:lumMod val="75000"/>
                </a:schemeClr>
              </a:solidFill>
              <a:ln>
                <a:noFill/>
              </a:ln>
            </c:spPr>
          </c:marker>
          <c:cat>
            <c:strRef>
              <c:f>'16 LCOE'!$F$3:$O$3</c:f>
              <c:strCache>
                <c:ptCount val="10"/>
                <c:pt idx="0">
                  <c:v>Barnehage</c:v>
                </c:pt>
                <c:pt idx="1">
                  <c:v>Kontor</c:v>
                </c:pt>
                <c:pt idx="2">
                  <c:v>Skole</c:v>
                </c:pt>
                <c:pt idx="3">
                  <c:v>Universitet og høgskole</c:v>
                </c:pt>
                <c:pt idx="4">
                  <c:v>Sykehus</c:v>
                </c:pt>
                <c:pt idx="5">
                  <c:v>Sykehjem</c:v>
                </c:pt>
                <c:pt idx="6">
                  <c:v>Hotell</c:v>
                </c:pt>
                <c:pt idx="7">
                  <c:v>Idrettsbygg</c:v>
                </c:pt>
                <c:pt idx="8">
                  <c:v>Forretning</c:v>
                </c:pt>
                <c:pt idx="9">
                  <c:v>Kulturbygg</c:v>
                </c:pt>
              </c:strCache>
            </c:strRef>
          </c:cat>
          <c:val>
            <c:numRef>
              <c:f>'16 LCOE'!$F$211:$O$211</c:f>
              <c:numCache>
                <c:formatCode>#\ ##0.0</c:formatCode>
                <c:ptCount val="10"/>
                <c:pt idx="0">
                  <c:v>21.520441561738593</c:v>
                </c:pt>
                <c:pt idx="1">
                  <c:v>3.6247844537981351</c:v>
                </c:pt>
                <c:pt idx="2">
                  <c:v>20.280878298084694</c:v>
                </c:pt>
                <c:pt idx="3">
                  <c:v>4.1196925454148001</c:v>
                </c:pt>
                <c:pt idx="4">
                  <c:v>2.511613212158303</c:v>
                </c:pt>
                <c:pt idx="5">
                  <c:v>16.905088927988572</c:v>
                </c:pt>
                <c:pt idx="6">
                  <c:v>2.4715551346142743</c:v>
                </c:pt>
                <c:pt idx="7">
                  <c:v>26.10805982956699</c:v>
                </c:pt>
                <c:pt idx="8">
                  <c:v>1.8510674932655069</c:v>
                </c:pt>
                <c:pt idx="9">
                  <c:v>8.9681028553035773</c:v>
                </c:pt>
              </c:numCache>
            </c:numRef>
          </c:val>
          <c:smooth val="0"/>
        </c:ser>
        <c:dLbls>
          <c:showLegendKey val="0"/>
          <c:showVal val="0"/>
          <c:showCatName val="0"/>
          <c:showSerName val="0"/>
          <c:showPercent val="0"/>
          <c:showBubbleSize val="0"/>
        </c:dLbls>
        <c:hiLowLines>
          <c:spPr>
            <a:ln w="28575" cap="sq"/>
          </c:spPr>
        </c:hiLowLines>
        <c:axId val="433490064"/>
        <c:axId val="433491632"/>
      </c:stockChart>
      <c:catAx>
        <c:axId val="433490064"/>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433491632"/>
        <c:crosses val="autoZero"/>
        <c:auto val="1"/>
        <c:lblAlgn val="ctr"/>
        <c:lblOffset val="100"/>
        <c:noMultiLvlLbl val="0"/>
      </c:catAx>
      <c:valAx>
        <c:axId val="433491632"/>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433490064"/>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nb-NO" sz="1400" b="1" i="0" u="none" strike="noStrike" baseline="0">
                <a:effectLst/>
              </a:rPr>
              <a:t>Energioppfølgingssystem (EOS)</a:t>
            </a:r>
            <a:r>
              <a:rPr lang="nb-NO" sz="1400" b="1" i="0" u="none" strike="noStrike" baseline="0"/>
              <a:t> </a:t>
            </a:r>
            <a:endParaRPr lang="nb-NO" sz="1400" b="1"/>
          </a:p>
        </c:rich>
      </c:tx>
      <c:layout/>
      <c:overlay val="0"/>
    </c:title>
    <c:autoTitleDeleted val="0"/>
    <c:plotArea>
      <c:layout>
        <c:manualLayout>
          <c:layoutTarget val="inner"/>
          <c:xMode val="edge"/>
          <c:yMode val="edge"/>
          <c:x val="0.11309092592592593"/>
          <c:y val="0.12411694444444445"/>
          <c:w val="0.84852464438852271"/>
          <c:h val="0.63838638888888888"/>
        </c:manualLayout>
      </c:layout>
      <c:stockChart>
        <c:ser>
          <c:idx val="0"/>
          <c:order val="0"/>
          <c:tx>
            <c:strRef>
              <c:f>'16 LCOE'!$C$248</c:f>
              <c:strCache>
                <c:ptCount val="1"/>
                <c:pt idx="0">
                  <c:v>Lav</c:v>
                </c:pt>
              </c:strCache>
            </c:strRef>
          </c:tx>
          <c:spPr>
            <a:ln w="28575">
              <a:noFill/>
            </a:ln>
          </c:spPr>
          <c:marker>
            <c:symbol val="dash"/>
            <c:size val="16"/>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LCOE'!$D$248:$O$248</c:f>
              <c:numCache>
                <c:formatCode>#\ ##0.0</c:formatCode>
                <c:ptCount val="12"/>
                <c:pt idx="0">
                  <c:v>0</c:v>
                </c:pt>
                <c:pt idx="1">
                  <c:v>0.34880752664699394</c:v>
                </c:pt>
                <c:pt idx="2">
                  <c:v>7.3236788143791226E-2</c:v>
                </c:pt>
                <c:pt idx="3">
                  <c:v>1.2055802282383725E-2</c:v>
                </c:pt>
                <c:pt idx="4">
                  <c:v>1.6494408783486014E-2</c:v>
                </c:pt>
                <c:pt idx="5">
                  <c:v>1.0708510778925573E-2</c:v>
                </c:pt>
                <c:pt idx="6">
                  <c:v>6.2575930372713714E-3</c:v>
                </c:pt>
                <c:pt idx="7">
                  <c:v>1.1277803595937727E-2</c:v>
                </c:pt>
                <c:pt idx="8">
                  <c:v>1.1903451895887219E-2</c:v>
                </c:pt>
                <c:pt idx="9">
                  <c:v>9.0454923349605233E-3</c:v>
                </c:pt>
                <c:pt idx="10">
                  <c:v>7.6757498848940668E-3</c:v>
                </c:pt>
                <c:pt idx="11">
                  <c:v>1.495897240851508E-2</c:v>
                </c:pt>
              </c:numCache>
            </c:numRef>
          </c:val>
          <c:smooth val="0"/>
        </c:ser>
        <c:ser>
          <c:idx val="1"/>
          <c:order val="1"/>
          <c:tx>
            <c:strRef>
              <c:f>'16 LCOE'!$C$249</c:f>
              <c:strCache>
                <c:ptCount val="1"/>
                <c:pt idx="0">
                  <c:v>Median</c:v>
                </c:pt>
              </c:strCache>
            </c:strRef>
          </c:tx>
          <c:spPr>
            <a:ln w="28575">
              <a:noFill/>
            </a:ln>
          </c:spPr>
          <c:marker>
            <c:symbol val="dash"/>
            <c:size val="16"/>
            <c:spPr>
              <a:solidFill>
                <a:schemeClr val="accent6"/>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LCOE'!$D$249:$O$249</c:f>
              <c:numCache>
                <c:formatCode>#\ ##0.0</c:formatCode>
                <c:ptCount val="12"/>
                <c:pt idx="0">
                  <c:v>0</c:v>
                </c:pt>
                <c:pt idx="1">
                  <c:v>0.46593862937852398</c:v>
                </c:pt>
                <c:pt idx="2">
                  <c:v>1.2936521118794959</c:v>
                </c:pt>
                <c:pt idx="3">
                  <c:v>0.18764225587918615</c:v>
                </c:pt>
                <c:pt idx="4">
                  <c:v>0.29424740774031916</c:v>
                </c:pt>
                <c:pt idx="5">
                  <c:v>0.16724768592681119</c:v>
                </c:pt>
                <c:pt idx="6">
                  <c:v>9.0040669035229642E-2</c:v>
                </c:pt>
                <c:pt idx="7">
                  <c:v>0.18143756372785039</c:v>
                </c:pt>
                <c:pt idx="8">
                  <c:v>0.18203735732695073</c:v>
                </c:pt>
                <c:pt idx="9">
                  <c:v>0.15231721712585017</c:v>
                </c:pt>
                <c:pt idx="10">
                  <c:v>0.11638408941419627</c:v>
                </c:pt>
                <c:pt idx="11">
                  <c:v>0.24876676614380006</c:v>
                </c:pt>
              </c:numCache>
            </c:numRef>
          </c:val>
          <c:smooth val="0"/>
        </c:ser>
        <c:ser>
          <c:idx val="2"/>
          <c:order val="2"/>
          <c:tx>
            <c:strRef>
              <c:f>'16 LCOE'!$C$250</c:f>
              <c:strCache>
                <c:ptCount val="1"/>
                <c:pt idx="0">
                  <c:v>Høy</c:v>
                </c:pt>
              </c:strCache>
            </c:strRef>
          </c:tx>
          <c:spPr>
            <a:ln w="28575">
              <a:noFill/>
            </a:ln>
          </c:spPr>
          <c:marker>
            <c:symbol val="dash"/>
            <c:size val="15"/>
            <c:spPr>
              <a:solidFill>
                <a:schemeClr val="bg1">
                  <a:lumMod val="75000"/>
                </a:schemeClr>
              </a:solidFill>
              <a:ln>
                <a:noFill/>
              </a:ln>
            </c:spPr>
          </c:marker>
          <c:cat>
            <c:strRef>
              <c:f>'16 LCOE'!$D$3:$O$3</c:f>
              <c:strCache>
                <c:ptCount val="12"/>
                <c:pt idx="0">
                  <c:v>Småhus</c:v>
                </c:pt>
                <c:pt idx="1">
                  <c:v>Boligblokk</c:v>
                </c:pt>
                <c:pt idx="2">
                  <c:v>Barnehage</c:v>
                </c:pt>
                <c:pt idx="3">
                  <c:v>Kontor</c:v>
                </c:pt>
                <c:pt idx="4">
                  <c:v>Skole</c:v>
                </c:pt>
                <c:pt idx="5">
                  <c:v>Universitet og høgskole</c:v>
                </c:pt>
                <c:pt idx="6">
                  <c:v>Sykehus</c:v>
                </c:pt>
                <c:pt idx="7">
                  <c:v>Sykehjem</c:v>
                </c:pt>
                <c:pt idx="8">
                  <c:v>Hotell</c:v>
                </c:pt>
                <c:pt idx="9">
                  <c:v>Idrettsbygg</c:v>
                </c:pt>
                <c:pt idx="10">
                  <c:v>Forretning</c:v>
                </c:pt>
                <c:pt idx="11">
                  <c:v>Kulturbygg</c:v>
                </c:pt>
              </c:strCache>
            </c:strRef>
          </c:cat>
          <c:val>
            <c:numRef>
              <c:f>'16 LCOE'!$D$250:$O$250</c:f>
              <c:numCache>
                <c:formatCode>#\ ##0.0</c:formatCode>
                <c:ptCount val="12"/>
                <c:pt idx="0">
                  <c:v>2.4878609925922426</c:v>
                </c:pt>
                <c:pt idx="1">
                  <c:v>2.8062670850298543</c:v>
                </c:pt>
                <c:pt idx="2">
                  <c:v>13.043912989519225</c:v>
                </c:pt>
                <c:pt idx="3">
                  <c:v>4.4339459308239579</c:v>
                </c:pt>
                <c:pt idx="4">
                  <c:v>4.8563336649107818</c:v>
                </c:pt>
                <c:pt idx="5">
                  <c:v>4.0028315651280515</c:v>
                </c:pt>
                <c:pt idx="6">
                  <c:v>2.0020056486950497</c:v>
                </c:pt>
                <c:pt idx="7">
                  <c:v>2.5898153326330156</c:v>
                </c:pt>
                <c:pt idx="8">
                  <c:v>2.8479900698425378</c:v>
                </c:pt>
                <c:pt idx="9">
                  <c:v>2.2262197861267032</c:v>
                </c:pt>
                <c:pt idx="10">
                  <c:v>2.8409891953250956</c:v>
                </c:pt>
                <c:pt idx="11">
                  <c:v>3.2844348096795573</c:v>
                </c:pt>
              </c:numCache>
            </c:numRef>
          </c:val>
          <c:smooth val="0"/>
        </c:ser>
        <c:dLbls>
          <c:showLegendKey val="0"/>
          <c:showVal val="0"/>
          <c:showCatName val="0"/>
          <c:showSerName val="0"/>
          <c:showPercent val="0"/>
          <c:showBubbleSize val="0"/>
        </c:dLbls>
        <c:hiLowLines>
          <c:spPr>
            <a:ln w="28575" cap="sq"/>
          </c:spPr>
        </c:hiLowLines>
        <c:axId val="433492416"/>
        <c:axId val="433492808"/>
      </c:stockChart>
      <c:catAx>
        <c:axId val="433492416"/>
        <c:scaling>
          <c:orientation val="minMax"/>
        </c:scaling>
        <c:delete val="0"/>
        <c:axPos val="b"/>
        <c:numFmt formatCode="General" sourceLinked="0"/>
        <c:majorTickMark val="out"/>
        <c:minorTickMark val="none"/>
        <c:tickLblPos val="low"/>
        <c:txPr>
          <a:bodyPr rot="-5400000" vert="horz"/>
          <a:lstStyle/>
          <a:p>
            <a:pPr>
              <a:defRPr sz="1200"/>
            </a:pPr>
            <a:endParaRPr lang="nb-NO"/>
          </a:p>
        </c:txPr>
        <c:crossAx val="433492808"/>
        <c:crosses val="autoZero"/>
        <c:auto val="1"/>
        <c:lblAlgn val="ctr"/>
        <c:lblOffset val="100"/>
        <c:noMultiLvlLbl val="0"/>
      </c:catAx>
      <c:valAx>
        <c:axId val="433492808"/>
        <c:scaling>
          <c:orientation val="minMax"/>
        </c:scaling>
        <c:delete val="0"/>
        <c:axPos val="l"/>
        <c:majorGridlines/>
        <c:title>
          <c:tx>
            <c:rich>
              <a:bodyPr rot="-5400000" vert="horz"/>
              <a:lstStyle/>
              <a:p>
                <a:pPr>
                  <a:defRPr sz="1200"/>
                </a:pPr>
                <a:r>
                  <a:rPr lang="nb-NO" sz="1200"/>
                  <a:t>LCOE [kr/kWh]</a:t>
                </a:r>
              </a:p>
            </c:rich>
          </c:tx>
          <c:layout>
            <c:manualLayout>
              <c:xMode val="edge"/>
              <c:yMode val="edge"/>
              <c:x val="9.3140706436850226E-3"/>
              <c:y val="0.36610563664487611"/>
            </c:manualLayout>
          </c:layout>
          <c:overlay val="0"/>
        </c:title>
        <c:numFmt formatCode="#,##0" sourceLinked="0"/>
        <c:majorTickMark val="none"/>
        <c:minorTickMark val="none"/>
        <c:tickLblPos val="nextTo"/>
        <c:txPr>
          <a:bodyPr/>
          <a:lstStyle/>
          <a:p>
            <a:pPr>
              <a:defRPr sz="1200"/>
            </a:pPr>
            <a:endParaRPr lang="nb-NO"/>
          </a:p>
        </c:txPr>
        <c:crossAx val="433492416"/>
        <c:crosses val="autoZero"/>
        <c:crossBetween val="between"/>
      </c:valAx>
      <c:spPr>
        <a:noFill/>
        <a:effectLst/>
      </c:spPr>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0</xdr:rowOff>
    </xdr:from>
    <xdr:to>
      <xdr:col>2</xdr:col>
      <xdr:colOff>221827</xdr:colOff>
      <xdr:row>37</xdr:row>
      <xdr:rowOff>76200</xdr:rowOff>
    </xdr:to>
    <xdr:pic>
      <xdr:nvPicPr>
        <xdr:cNvPr id="2" name="Picture 1"/>
        <xdr:cNvPicPr/>
      </xdr:nvPicPr>
      <xdr:blipFill>
        <a:blip xmlns:r="http://schemas.openxmlformats.org/officeDocument/2006/relationships" r:embed="rId1"/>
        <a:stretch>
          <a:fillRect/>
        </a:stretch>
      </xdr:blipFill>
      <xdr:spPr>
        <a:xfrm>
          <a:off x="0" y="1828800"/>
          <a:ext cx="2880360" cy="2270760"/>
        </a:xfrm>
        <a:prstGeom prst="rect">
          <a:avLst/>
        </a:prstGeom>
      </xdr:spPr>
    </xdr:pic>
    <xdr:clientData/>
  </xdr:twoCellAnchor>
  <xdr:twoCellAnchor editAs="oneCell">
    <xdr:from>
      <xdr:col>3</xdr:col>
      <xdr:colOff>0</xdr:colOff>
      <xdr:row>25</xdr:row>
      <xdr:rowOff>0</xdr:rowOff>
    </xdr:from>
    <xdr:to>
      <xdr:col>6</xdr:col>
      <xdr:colOff>594360</xdr:colOff>
      <xdr:row>37</xdr:row>
      <xdr:rowOff>82550</xdr:rowOff>
    </xdr:to>
    <xdr:pic>
      <xdr:nvPicPr>
        <xdr:cNvPr id="3" name="Picture 2"/>
        <xdr:cNvPicPr/>
      </xdr:nvPicPr>
      <xdr:blipFill>
        <a:blip xmlns:r="http://schemas.openxmlformats.org/officeDocument/2006/relationships" r:embed="rId2"/>
        <a:stretch>
          <a:fillRect/>
        </a:stretch>
      </xdr:blipFill>
      <xdr:spPr>
        <a:xfrm>
          <a:off x="3329940" y="1828800"/>
          <a:ext cx="3009900" cy="2277110"/>
        </a:xfrm>
        <a:prstGeom prst="rect">
          <a:avLst/>
        </a:prstGeom>
      </xdr:spPr>
    </xdr:pic>
    <xdr:clientData/>
  </xdr:twoCellAnchor>
  <xdr:twoCellAnchor editAs="oneCell">
    <xdr:from>
      <xdr:col>0</xdr:col>
      <xdr:colOff>30478</xdr:colOff>
      <xdr:row>63</xdr:row>
      <xdr:rowOff>160020</xdr:rowOff>
    </xdr:from>
    <xdr:to>
      <xdr:col>4</xdr:col>
      <xdr:colOff>61806</xdr:colOff>
      <xdr:row>88</xdr:row>
      <xdr:rowOff>22861</xdr:rowOff>
    </xdr:to>
    <xdr:pic>
      <xdr:nvPicPr>
        <xdr:cNvPr id="4" name="Picture 3"/>
        <xdr:cNvPicPr>
          <a:picLocks noChangeAspect="1"/>
        </xdr:cNvPicPr>
      </xdr:nvPicPr>
      <xdr:blipFill>
        <a:blip xmlns:r="http://schemas.openxmlformats.org/officeDocument/2006/relationships" r:embed="rId3"/>
        <a:stretch>
          <a:fillRect/>
        </a:stretch>
      </xdr:blipFill>
      <xdr:spPr>
        <a:xfrm>
          <a:off x="30478" y="12390120"/>
          <a:ext cx="4244341" cy="4434840"/>
        </a:xfrm>
        <a:prstGeom prst="rect">
          <a:avLst/>
        </a:prstGeom>
      </xdr:spPr>
    </xdr:pic>
    <xdr:clientData/>
  </xdr:twoCellAnchor>
  <xdr:twoCellAnchor editAs="oneCell">
    <xdr:from>
      <xdr:col>0</xdr:col>
      <xdr:colOff>0</xdr:colOff>
      <xdr:row>90</xdr:row>
      <xdr:rowOff>0</xdr:rowOff>
    </xdr:from>
    <xdr:to>
      <xdr:col>5</xdr:col>
      <xdr:colOff>496147</xdr:colOff>
      <xdr:row>112</xdr:row>
      <xdr:rowOff>7621</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7167860"/>
          <a:ext cx="5478780" cy="4030980"/>
        </a:xfrm>
        <a:prstGeom prst="rect">
          <a:avLst/>
        </a:prstGeom>
      </xdr:spPr>
    </xdr:pic>
    <xdr:clientData/>
  </xdr:twoCellAnchor>
  <xdr:twoCellAnchor editAs="oneCell">
    <xdr:from>
      <xdr:col>0</xdr:col>
      <xdr:colOff>0</xdr:colOff>
      <xdr:row>112</xdr:row>
      <xdr:rowOff>135780</xdr:rowOff>
    </xdr:from>
    <xdr:to>
      <xdr:col>5</xdr:col>
      <xdr:colOff>465667</xdr:colOff>
      <xdr:row>134</xdr:row>
      <xdr:rowOff>152399</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21327000"/>
          <a:ext cx="5448300" cy="4039979"/>
        </a:xfrm>
        <a:prstGeom prst="rect">
          <a:avLst/>
        </a:prstGeom>
      </xdr:spPr>
    </xdr:pic>
    <xdr:clientData/>
  </xdr:twoCellAnchor>
  <xdr:twoCellAnchor editAs="oneCell">
    <xdr:from>
      <xdr:col>0</xdr:col>
      <xdr:colOff>0</xdr:colOff>
      <xdr:row>135</xdr:row>
      <xdr:rowOff>152400</xdr:rowOff>
    </xdr:from>
    <xdr:to>
      <xdr:col>5</xdr:col>
      <xdr:colOff>450427</xdr:colOff>
      <xdr:row>157</xdr:row>
      <xdr:rowOff>160021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25549860"/>
          <a:ext cx="5433060" cy="403098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11.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12.xml><?xml version="1.0" encoding="utf-8"?>
<xdr:wsDr xmlns:xdr="http://schemas.openxmlformats.org/drawingml/2006/spreadsheetDrawing" xmlns:a="http://schemas.openxmlformats.org/drawingml/2006/main">
  <xdr:twoCellAnchor>
    <xdr:from>
      <xdr:col>4</xdr:col>
      <xdr:colOff>504825</xdr:colOff>
      <xdr:row>12</xdr:row>
      <xdr:rowOff>185737</xdr:rowOff>
    </xdr:from>
    <xdr:to>
      <xdr:col>11</xdr:col>
      <xdr:colOff>570825</xdr:colOff>
      <xdr:row>31</xdr:row>
      <xdr:rowOff>166237</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88</xdr:row>
      <xdr:rowOff>0</xdr:rowOff>
    </xdr:from>
    <xdr:to>
      <xdr:col>3</xdr:col>
      <xdr:colOff>803274</xdr:colOff>
      <xdr:row>115</xdr:row>
      <xdr:rowOff>120015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3582650"/>
          <a:ext cx="4543424" cy="5006340"/>
        </a:xfrm>
        <a:prstGeom prst="rect">
          <a:avLst/>
        </a:prstGeom>
      </xdr:spPr>
    </xdr:pic>
    <xdr:clientData/>
  </xdr:twoCellAnchor>
  <xdr:twoCellAnchor editAs="oneCell">
    <xdr:from>
      <xdr:col>0</xdr:col>
      <xdr:colOff>0</xdr:colOff>
      <xdr:row>115</xdr:row>
      <xdr:rowOff>104775</xdr:rowOff>
    </xdr:from>
    <xdr:to>
      <xdr:col>3</xdr:col>
      <xdr:colOff>784225</xdr:colOff>
      <xdr:row>119</xdr:row>
      <xdr:rowOff>95250</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18573750"/>
          <a:ext cx="4524375" cy="714376"/>
        </a:xfrm>
        <a:prstGeom prst="rect">
          <a:avLst/>
        </a:prstGeom>
      </xdr:spPr>
    </xdr:pic>
    <xdr:clientData/>
  </xdr:twoCellAnchor>
  <xdr:twoCellAnchor editAs="oneCell">
    <xdr:from>
      <xdr:col>0</xdr:col>
      <xdr:colOff>0</xdr:colOff>
      <xdr:row>119</xdr:row>
      <xdr:rowOff>152400</xdr:rowOff>
    </xdr:from>
    <xdr:to>
      <xdr:col>3</xdr:col>
      <xdr:colOff>863078</xdr:colOff>
      <xdr:row>128</xdr:row>
      <xdr:rowOff>95250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19345275"/>
          <a:ext cx="4603228" cy="1571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13607</xdr:colOff>
      <xdr:row>4</xdr:row>
      <xdr:rowOff>1</xdr:rowOff>
    </xdr:from>
    <xdr:to>
      <xdr:col>24</xdr:col>
      <xdr:colOff>536807</xdr:colOff>
      <xdr:row>22</xdr:row>
      <xdr:rowOff>171001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2968</xdr:colOff>
      <xdr:row>32</xdr:row>
      <xdr:rowOff>10886</xdr:rowOff>
    </xdr:from>
    <xdr:to>
      <xdr:col>24</xdr:col>
      <xdr:colOff>526168</xdr:colOff>
      <xdr:row>50</xdr:row>
      <xdr:rowOff>181886</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2720</xdr:colOff>
      <xdr:row>60</xdr:row>
      <xdr:rowOff>13607</xdr:rowOff>
    </xdr:from>
    <xdr:to>
      <xdr:col>24</xdr:col>
      <xdr:colOff>525920</xdr:colOff>
      <xdr:row>78</xdr:row>
      <xdr:rowOff>184607</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598713</xdr:colOff>
      <xdr:row>79</xdr:row>
      <xdr:rowOff>13607</xdr:rowOff>
    </xdr:from>
    <xdr:to>
      <xdr:col>24</xdr:col>
      <xdr:colOff>512313</xdr:colOff>
      <xdr:row>97</xdr:row>
      <xdr:rowOff>184607</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598713</xdr:colOff>
      <xdr:row>98</xdr:row>
      <xdr:rowOff>0</xdr:rowOff>
    </xdr:from>
    <xdr:to>
      <xdr:col>24</xdr:col>
      <xdr:colOff>512313</xdr:colOff>
      <xdr:row>116</xdr:row>
      <xdr:rowOff>171000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2720</xdr:colOff>
      <xdr:row>117</xdr:row>
      <xdr:rowOff>0</xdr:rowOff>
    </xdr:from>
    <xdr:to>
      <xdr:col>24</xdr:col>
      <xdr:colOff>525920</xdr:colOff>
      <xdr:row>135</xdr:row>
      <xdr:rowOff>171000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174</xdr:row>
      <xdr:rowOff>0</xdr:rowOff>
    </xdr:from>
    <xdr:to>
      <xdr:col>24</xdr:col>
      <xdr:colOff>523200</xdr:colOff>
      <xdr:row>192</xdr:row>
      <xdr:rowOff>171000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193</xdr:row>
      <xdr:rowOff>0</xdr:rowOff>
    </xdr:from>
    <xdr:to>
      <xdr:col>24</xdr:col>
      <xdr:colOff>523200</xdr:colOff>
      <xdr:row>211</xdr:row>
      <xdr:rowOff>171000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598714</xdr:colOff>
      <xdr:row>232</xdr:row>
      <xdr:rowOff>13607</xdr:rowOff>
    </xdr:from>
    <xdr:to>
      <xdr:col>24</xdr:col>
      <xdr:colOff>512314</xdr:colOff>
      <xdr:row>250</xdr:row>
      <xdr:rowOff>184607</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251</xdr:row>
      <xdr:rowOff>13607</xdr:rowOff>
    </xdr:from>
    <xdr:to>
      <xdr:col>24</xdr:col>
      <xdr:colOff>523200</xdr:colOff>
      <xdr:row>269</xdr:row>
      <xdr:rowOff>184607</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585106</xdr:colOff>
      <xdr:row>136</xdr:row>
      <xdr:rowOff>0</xdr:rowOff>
    </xdr:from>
    <xdr:to>
      <xdr:col>24</xdr:col>
      <xdr:colOff>498706</xdr:colOff>
      <xdr:row>154</xdr:row>
      <xdr:rowOff>171000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2720</xdr:colOff>
      <xdr:row>154</xdr:row>
      <xdr:rowOff>176892</xdr:rowOff>
    </xdr:from>
    <xdr:to>
      <xdr:col>24</xdr:col>
      <xdr:colOff>525920</xdr:colOff>
      <xdr:row>173</xdr:row>
      <xdr:rowOff>157392</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59871</xdr:colOff>
      <xdr:row>272</xdr:row>
      <xdr:rowOff>176892</xdr:rowOff>
    </xdr:from>
    <xdr:to>
      <xdr:col>30</xdr:col>
      <xdr:colOff>247650</xdr:colOff>
      <xdr:row>297</xdr:row>
      <xdr:rowOff>46263</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214003</xdr:colOff>
      <xdr:row>272</xdr:row>
      <xdr:rowOff>175657</xdr:rowOff>
    </xdr:from>
    <xdr:to>
      <xdr:col>43</xdr:col>
      <xdr:colOff>398318</xdr:colOff>
      <xdr:row>297</xdr:row>
      <xdr:rowOff>39585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43</xdr:col>
      <xdr:colOff>402771</xdr:colOff>
      <xdr:row>272</xdr:row>
      <xdr:rowOff>166009</xdr:rowOff>
    </xdr:from>
    <xdr:to>
      <xdr:col>56</xdr:col>
      <xdr:colOff>590550</xdr:colOff>
      <xdr:row>297</xdr:row>
      <xdr:rowOff>29937</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13607</xdr:colOff>
      <xdr:row>213</xdr:row>
      <xdr:rowOff>27214</xdr:rowOff>
    </xdr:from>
    <xdr:to>
      <xdr:col>24</xdr:col>
      <xdr:colOff>536807</xdr:colOff>
      <xdr:row>232</xdr:row>
      <xdr:rowOff>7714</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76200</xdr:colOff>
      <xdr:row>297</xdr:row>
      <xdr:rowOff>91440</xdr:rowOff>
    </xdr:from>
    <xdr:to>
      <xdr:col>30</xdr:col>
      <xdr:colOff>263979</xdr:colOff>
      <xdr:row>321</xdr:row>
      <xdr:rowOff>138248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30</xdr:col>
      <xdr:colOff>274320</xdr:colOff>
      <xdr:row>297</xdr:row>
      <xdr:rowOff>76200</xdr:rowOff>
    </xdr:from>
    <xdr:to>
      <xdr:col>43</xdr:col>
      <xdr:colOff>462099</xdr:colOff>
      <xdr:row>321</xdr:row>
      <xdr:rowOff>123008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43</xdr:col>
      <xdr:colOff>457200</xdr:colOff>
      <xdr:row>297</xdr:row>
      <xdr:rowOff>76200</xdr:rowOff>
    </xdr:from>
    <xdr:to>
      <xdr:col>57</xdr:col>
      <xdr:colOff>35379</xdr:colOff>
      <xdr:row>321</xdr:row>
      <xdr:rowOff>123008</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322</xdr:row>
      <xdr:rowOff>0</xdr:rowOff>
    </xdr:from>
    <xdr:to>
      <xdr:col>30</xdr:col>
      <xdr:colOff>187779</xdr:colOff>
      <xdr:row>346</xdr:row>
      <xdr:rowOff>46808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30</xdr:col>
      <xdr:colOff>243840</xdr:colOff>
      <xdr:row>321</xdr:row>
      <xdr:rowOff>167640</xdr:rowOff>
    </xdr:from>
    <xdr:to>
      <xdr:col>43</xdr:col>
      <xdr:colOff>431619</xdr:colOff>
      <xdr:row>346</xdr:row>
      <xdr:rowOff>31568</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43</xdr:col>
      <xdr:colOff>472440</xdr:colOff>
      <xdr:row>321</xdr:row>
      <xdr:rowOff>137160</xdr:rowOff>
    </xdr:from>
    <xdr:to>
      <xdr:col>57</xdr:col>
      <xdr:colOff>50619</xdr:colOff>
      <xdr:row>346</xdr:row>
      <xdr:rowOff>1088</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346</xdr:row>
      <xdr:rowOff>121920</xdr:rowOff>
    </xdr:from>
    <xdr:to>
      <xdr:col>30</xdr:col>
      <xdr:colOff>187779</xdr:colOff>
      <xdr:row>370</xdr:row>
      <xdr:rowOff>168728</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30</xdr:col>
      <xdr:colOff>213360</xdr:colOff>
      <xdr:row>346</xdr:row>
      <xdr:rowOff>121920</xdr:rowOff>
    </xdr:from>
    <xdr:to>
      <xdr:col>43</xdr:col>
      <xdr:colOff>401139</xdr:colOff>
      <xdr:row>370</xdr:row>
      <xdr:rowOff>168728</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43</xdr:col>
      <xdr:colOff>518160</xdr:colOff>
      <xdr:row>346</xdr:row>
      <xdr:rowOff>91440</xdr:rowOff>
    </xdr:from>
    <xdr:to>
      <xdr:col>57</xdr:col>
      <xdr:colOff>96339</xdr:colOff>
      <xdr:row>370</xdr:row>
      <xdr:rowOff>138248</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5.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6.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7.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8.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drawings/drawing9.xml><?xml version="1.0" encoding="utf-8"?>
<c:userShapes xmlns:c="http://schemas.openxmlformats.org/drawingml/2006/chart">
  <cdr:relSizeAnchor xmlns:cdr="http://schemas.openxmlformats.org/drawingml/2006/chartDrawing">
    <cdr:from>
      <cdr:x>0.84474</cdr:x>
      <cdr:y>0.92292</cdr:y>
    </cdr:from>
    <cdr:to>
      <cdr:x>0.99833</cdr:x>
      <cdr:y>1</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85215" y="3214920"/>
          <a:ext cx="1251858" cy="268508"/>
        </a:xfrm>
        <a:prstGeom xmlns:a="http://schemas.openxmlformats.org/drawingml/2006/main" prst="rect">
          <a:avLst/>
        </a:prstGeom>
        <a:noFill xmlns:a="http://schemas.openxmlformats.org/drawingml/2006/main"/>
      </cdr:spPr>
    </cdr:pic>
  </cdr:relSizeAnchor>
</c:userShapes>
</file>

<file path=xl/theme/theme1.xml><?xml version="1.0" encoding="utf-8"?>
<a:theme xmlns:a="http://schemas.openxmlformats.org/drawingml/2006/main" name="Office-tema">
  <a:themeElements>
    <a:clrScheme name="NVE">
      <a:dk1>
        <a:sysClr val="windowText" lastClr="000000"/>
      </a:dk1>
      <a:lt1>
        <a:sysClr val="window" lastClr="FFFFFF"/>
      </a:lt1>
      <a:dk2>
        <a:srgbClr val="1F497D"/>
      </a:dk2>
      <a:lt2>
        <a:srgbClr val="EEECE1"/>
      </a:lt2>
      <a:accent1>
        <a:srgbClr val="1C3E73"/>
      </a:accent1>
      <a:accent2>
        <a:srgbClr val="D8841C"/>
      </a:accent2>
      <a:accent3>
        <a:srgbClr val="69797A"/>
      </a:accent3>
      <a:accent4>
        <a:srgbClr val="69923A"/>
      </a:accent4>
      <a:accent5>
        <a:srgbClr val="AA9D63"/>
      </a:accent5>
      <a:accent6>
        <a:srgbClr val="585183"/>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http://www.elektroimportoren.no/belysning/lyskilder-lyspaerer/lysroer-t4-t5/005027766/Catalog.html?Event=shopmenu" TargetMode="External"/><Relationship Id="rId2" Type="http://schemas.openxmlformats.org/officeDocument/2006/relationships/hyperlink" Target="http://glamox.com/upload/2011/05/24/elektronisk-forkobling-i-lysarmaturer.pdf" TargetMode="External"/><Relationship Id="rId1" Type="http://schemas.openxmlformats.org/officeDocument/2006/relationships/hyperlink" Target="http://hms.cobuilder.no/doc/Philips/MASTER_TL-D_X&amp;XX_Tenk_etter.pdf"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3.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90" zoomScaleNormal="90" workbookViewId="0">
      <selection activeCell="A19" sqref="A19"/>
    </sheetView>
  </sheetViews>
  <sheetFormatPr baseColWidth="10" defaultColWidth="9.140625" defaultRowHeight="15" x14ac:dyDescent="0.25"/>
  <cols>
    <col min="1" max="1" width="28.7109375" customWidth="1"/>
    <col min="2" max="2" width="121.42578125" customWidth="1"/>
  </cols>
  <sheetData>
    <row r="1" spans="1:2" x14ac:dyDescent="0.25">
      <c r="A1" s="4" t="s">
        <v>315</v>
      </c>
    </row>
    <row r="3" spans="1:2" s="4" customFormat="1" x14ac:dyDescent="0.25">
      <c r="A3" s="4" t="s">
        <v>316</v>
      </c>
      <c r="B3" s="4" t="s">
        <v>317</v>
      </c>
    </row>
    <row r="4" spans="1:2" x14ac:dyDescent="0.25">
      <c r="A4" s="191" t="s">
        <v>314</v>
      </c>
      <c r="B4" t="str">
        <f>'1 Gjennomsnittsbygg'!A1</f>
        <v>Definere gjennomsnittsbygget i dagens bygningsmasse, for hver av bygningskategoriene, relatert til representativ TEK</v>
      </c>
    </row>
    <row r="5" spans="1:2" x14ac:dyDescent="0.25">
      <c r="A5" s="191" t="s">
        <v>331</v>
      </c>
      <c r="B5" t="str">
        <f>'2 Bygningsmodeller'!A1</f>
        <v>Bygningsmodellene - slik de er i SIMIEN-filene som er grunnlaget for energirammene i TEK10 og karakterskalaen i energimerkeordningen</v>
      </c>
    </row>
    <row r="6" spans="1:2" x14ac:dyDescent="0.25">
      <c r="A6" s="191" t="s">
        <v>332</v>
      </c>
      <c r="B6" t="str">
        <f>'3 Byggeår'!A1</f>
        <v>Byggeår er en variabel for beregning av lav, median og høy energibesparelse</v>
      </c>
    </row>
    <row r="7" spans="1:2" x14ac:dyDescent="0.25">
      <c r="A7" s="191" t="s">
        <v>333</v>
      </c>
      <c r="B7" t="str">
        <f>'4 Bruk'!A1</f>
        <v>Driftstider og temperaturer er en variabel for beregning av lav, median og høy energibesparelse</v>
      </c>
    </row>
    <row r="8" spans="1:2" x14ac:dyDescent="0.25">
      <c r="A8" s="191" t="s">
        <v>334</v>
      </c>
      <c r="B8" t="str">
        <f>'5 Klima'!A1</f>
        <v>Klima er en variabel for beregning av lav, median og høy energibesparelse</v>
      </c>
    </row>
    <row r="9" spans="1:2" x14ac:dyDescent="0.25">
      <c r="A9" s="191" t="s">
        <v>474</v>
      </c>
      <c r="B9" t="str">
        <f>'6 Oversikt startpunkt'!A1</f>
        <v>Oversikt over input parametere; startpunkt for simulering lav - median - høy energibesparelse</v>
      </c>
    </row>
    <row r="10" spans="1:2" x14ac:dyDescent="0.25">
      <c r="A10" s="191" t="s">
        <v>421</v>
      </c>
      <c r="B10" t="str">
        <f>'7 Passivhusnivå'!A1</f>
        <v>Fastsettelse av komponentverdier for hver bygningskategori slik at passivhusstandarden NS 3700 / NS 3701 akkurat tilfredsstilles (kontrolltest)</v>
      </c>
    </row>
    <row r="11" spans="1:2" x14ac:dyDescent="0.25">
      <c r="A11" s="191" t="s">
        <v>689</v>
      </c>
      <c r="B11" t="str">
        <f>'8 Lav energibesparelse'!A1</f>
        <v>Simien-simuleringer for energitiltak versjon lav energibesparelse</v>
      </c>
    </row>
    <row r="12" spans="1:2" x14ac:dyDescent="0.25">
      <c r="A12" s="191" t="s">
        <v>690</v>
      </c>
      <c r="B12" t="str">
        <f>'9 Median energibesparelse'!A1</f>
        <v>Simien-simuleringer for energitiltak versjon median energibesparelse</v>
      </c>
    </row>
    <row r="13" spans="1:2" x14ac:dyDescent="0.25">
      <c r="A13" s="191" t="s">
        <v>691</v>
      </c>
      <c r="B13" t="str">
        <f>'10 Høy energibesparelse'!A1</f>
        <v>Simien-simuleringer for energitiltak versjon høy energibesparelse</v>
      </c>
    </row>
    <row r="14" spans="1:2" x14ac:dyDescent="0.25">
      <c r="A14" s="191" t="s">
        <v>692</v>
      </c>
      <c r="B14" t="str">
        <f>'11 Kostnader Bygg'!A1</f>
        <v>Kostnader for byggtekniske tiltak</v>
      </c>
    </row>
    <row r="15" spans="1:2" x14ac:dyDescent="0.25">
      <c r="A15" s="191" t="s">
        <v>693</v>
      </c>
      <c r="B15" t="str">
        <f>'12 Kostnader VVS'!A1</f>
        <v>Kostnader for ventilasjonstiltak</v>
      </c>
    </row>
    <row r="16" spans="1:2" x14ac:dyDescent="0.25">
      <c r="A16" s="191" t="s">
        <v>694</v>
      </c>
      <c r="B16" t="str">
        <f>'13 Kostnader Elektro'!A1</f>
        <v>Kostnader for belysningstiltak</v>
      </c>
    </row>
    <row r="17" spans="1:2" x14ac:dyDescent="0.25">
      <c r="A17" s="191" t="s">
        <v>695</v>
      </c>
      <c r="B17" t="str">
        <f>'14 Kostnader Automasjon'!A1</f>
        <v>Kostnader for automasjonstiltak</v>
      </c>
    </row>
    <row r="18" spans="1:2" x14ac:dyDescent="0.25">
      <c r="A18" s="191" t="s">
        <v>696</v>
      </c>
      <c r="B18" t="str">
        <f>'15 Levetider og rente'!A1</f>
        <v>Teknisk levetid og rente per tiltak</v>
      </c>
    </row>
    <row r="19" spans="1:2" x14ac:dyDescent="0.25">
      <c r="A19" s="191" t="s">
        <v>697</v>
      </c>
      <c r="B19" t="str">
        <f>'16 LCOE'!A1</f>
        <v>Beregning LCOE (Levelized Cost Of Energy)</v>
      </c>
    </row>
  </sheetData>
  <hyperlinks>
    <hyperlink ref="A4" location="'1 Gjennomsnittsbygg'!A1" display="1 Gjennomsnittsbygg"/>
    <hyperlink ref="A5" location="'2 Bygningsmodeller'!A1" display="2 Bygningsmodeller"/>
    <hyperlink ref="A6" location="'3 Byggeår'!A1" display="'3 Byggeår'!A1"/>
    <hyperlink ref="A7" location="'4 Bruk'!A1" display="'4 Bruk'!A1"/>
    <hyperlink ref="A8" location="'5 Klima'!A1" display="'5 Klima'!A1"/>
    <hyperlink ref="A10" location="'7 Passivhusnivå'!A1" display="'7 Passivhusnivå"/>
    <hyperlink ref="A9" location="'6 Oversikt startpunkt'!A1" display="'6 Oversikt startpunkt'!A1"/>
    <hyperlink ref="A11" location="'8 Lav energibesparelse'!A1" display="'8 Lav energibesparelse'!A1"/>
    <hyperlink ref="A12" location="'9 Median energibesparelse'!A1" display="'9 Median energibesparelse'!A1"/>
    <hyperlink ref="A13" location="'10 Høy energibesparelse'!A1" display="'10 Høy energibesparelse'!A1"/>
    <hyperlink ref="A14" location="'11 Kostnader Bygg'!A1" display="'11 Kostnader Bygg'!A1"/>
    <hyperlink ref="A15" location="'12 Kostnader VVS'!A1" display="'12 Kostnader VVS'!A1"/>
    <hyperlink ref="A16" location="'13 Kostnader Elektro'!A1" display="'13 Kostnader Elektro'!A1"/>
    <hyperlink ref="A17" location="'14 Kostnader Automasjon'!A1" display="'14 Kostnader Automasjon'!A1"/>
    <hyperlink ref="A18" location="'15 Levetider og rente'!A1" display="'15 Levetider og rente'!A1"/>
    <hyperlink ref="A19" location="'16 LCOE'!A1" display="'16 LCOE'!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370"/>
  <sheetViews>
    <sheetView zoomScale="90" zoomScaleNormal="90" workbookViewId="0">
      <pane xSplit="2" ySplit="4" topLeftCell="C6" activePane="bottomRight" state="frozen"/>
      <selection pane="topRight" activeCell="C1" sqref="C1"/>
      <selection pane="bottomLeft" activeCell="A5" sqref="A5"/>
      <selection pane="bottomRight" activeCell="B345" sqref="B345"/>
    </sheetView>
  </sheetViews>
  <sheetFormatPr baseColWidth="10" defaultColWidth="11.42578125" defaultRowHeight="12.75" x14ac:dyDescent="0.2"/>
  <cols>
    <col min="1" max="1" width="4.7109375" style="202" customWidth="1"/>
    <col min="2" max="2" width="54.42578125" style="157" customWidth="1"/>
    <col min="3" max="3" width="14.28515625" style="206" customWidth="1"/>
    <col min="4" max="4" width="13.7109375" style="224" customWidth="1"/>
    <col min="5" max="5" width="13.85546875" style="201" bestFit="1" customWidth="1"/>
    <col min="6" max="6" width="13.140625" style="201" customWidth="1"/>
    <col min="7" max="7" width="13.85546875" style="201" bestFit="1" customWidth="1"/>
    <col min="8" max="8" width="11.42578125" style="201"/>
    <col min="9" max="9" width="14.28515625" style="201" bestFit="1" customWidth="1"/>
    <col min="10" max="10" width="15.140625" style="201" customWidth="1"/>
    <col min="11" max="11" width="13.85546875" style="201" bestFit="1" customWidth="1"/>
    <col min="12" max="12" width="11.42578125" style="201"/>
    <col min="13" max="13" width="14.28515625" style="201" customWidth="1"/>
    <col min="14" max="14" width="11.42578125" style="201"/>
    <col min="15" max="15" width="13.85546875" style="201" bestFit="1" customWidth="1"/>
    <col min="16" max="16" width="11.42578125" style="201"/>
    <col min="17" max="17" width="13.85546875" style="201" bestFit="1" customWidth="1"/>
    <col min="18" max="18" width="11.42578125" style="201"/>
    <col min="19" max="19" width="13.85546875" style="201" bestFit="1" customWidth="1"/>
    <col min="20" max="20" width="11.42578125" style="201"/>
    <col min="21" max="21" width="13.85546875" style="201" bestFit="1" customWidth="1"/>
    <col min="22" max="22" width="11.42578125" style="201"/>
    <col min="23" max="23" width="14.28515625" style="201" customWidth="1"/>
    <col min="24" max="24" width="11.42578125" style="201"/>
    <col min="25" max="25" width="13.85546875" style="201" bestFit="1" customWidth="1"/>
    <col min="26" max="208" width="11.42578125" style="201"/>
    <col min="209" max="209" width="16.7109375" style="201" customWidth="1"/>
    <col min="210" max="214" width="0" style="201" hidden="1" customWidth="1"/>
    <col min="215" max="215" width="29.7109375" style="201" customWidth="1"/>
    <col min="216" max="224" width="13.7109375" style="201" customWidth="1"/>
    <col min="225" max="225" width="14.140625" style="201" customWidth="1"/>
    <col min="226" max="233" width="13.7109375" style="201" customWidth="1"/>
    <col min="234" max="235" width="14.7109375" style="201" customWidth="1"/>
    <col min="236" max="238" width="13.7109375" style="201" customWidth="1"/>
    <col min="239" max="243" width="14.140625" style="201" customWidth="1"/>
    <col min="244" max="464" width="11.42578125" style="201"/>
    <col min="465" max="465" width="16.7109375" style="201" customWidth="1"/>
    <col min="466" max="470" width="0" style="201" hidden="1" customWidth="1"/>
    <col min="471" max="471" width="29.7109375" style="201" customWidth="1"/>
    <col min="472" max="480" width="13.7109375" style="201" customWidth="1"/>
    <col min="481" max="481" width="14.140625" style="201" customWidth="1"/>
    <col min="482" max="489" width="13.7109375" style="201" customWidth="1"/>
    <col min="490" max="491" width="14.7109375" style="201" customWidth="1"/>
    <col min="492" max="494" width="13.7109375" style="201" customWidth="1"/>
    <col min="495" max="499" width="14.140625" style="201" customWidth="1"/>
    <col min="500" max="720" width="11.42578125" style="201"/>
    <col min="721" max="721" width="16.7109375" style="201" customWidth="1"/>
    <col min="722" max="726" width="0" style="201" hidden="1" customWidth="1"/>
    <col min="727" max="727" width="29.7109375" style="201" customWidth="1"/>
    <col min="728" max="736" width="13.7109375" style="201" customWidth="1"/>
    <col min="737" max="737" width="14.140625" style="201" customWidth="1"/>
    <col min="738" max="745" width="13.7109375" style="201" customWidth="1"/>
    <col min="746" max="747" width="14.7109375" style="201" customWidth="1"/>
    <col min="748" max="750" width="13.7109375" style="201" customWidth="1"/>
    <col min="751" max="755" width="14.140625" style="201" customWidth="1"/>
    <col min="756" max="976" width="11.42578125" style="201"/>
    <col min="977" max="977" width="16.7109375" style="201" customWidth="1"/>
    <col min="978" max="982" width="0" style="201" hidden="1" customWidth="1"/>
    <col min="983" max="983" width="29.7109375" style="201" customWidth="1"/>
    <col min="984" max="992" width="13.7109375" style="201" customWidth="1"/>
    <col min="993" max="993" width="14.140625" style="201" customWidth="1"/>
    <col min="994" max="1001" width="13.7109375" style="201" customWidth="1"/>
    <col min="1002" max="1003" width="14.7109375" style="201" customWidth="1"/>
    <col min="1004" max="1006" width="13.7109375" style="201" customWidth="1"/>
    <col min="1007" max="1011" width="14.140625" style="201" customWidth="1"/>
    <col min="1012" max="1232" width="11.42578125" style="201"/>
    <col min="1233" max="1233" width="16.7109375" style="201" customWidth="1"/>
    <col min="1234" max="1238" width="0" style="201" hidden="1" customWidth="1"/>
    <col min="1239" max="1239" width="29.7109375" style="201" customWidth="1"/>
    <col min="1240" max="1248" width="13.7109375" style="201" customWidth="1"/>
    <col min="1249" max="1249" width="14.140625" style="201" customWidth="1"/>
    <col min="1250" max="1257" width="13.7109375" style="201" customWidth="1"/>
    <col min="1258" max="1259" width="14.7109375" style="201" customWidth="1"/>
    <col min="1260" max="1262" width="13.7109375" style="201" customWidth="1"/>
    <col min="1263" max="1267" width="14.140625" style="201" customWidth="1"/>
    <col min="1268" max="1488" width="11.42578125" style="201"/>
    <col min="1489" max="1489" width="16.7109375" style="201" customWidth="1"/>
    <col min="1490" max="1494" width="0" style="201" hidden="1" customWidth="1"/>
    <col min="1495" max="1495" width="29.7109375" style="201" customWidth="1"/>
    <col min="1496" max="1504" width="13.7109375" style="201" customWidth="1"/>
    <col min="1505" max="1505" width="14.140625" style="201" customWidth="1"/>
    <col min="1506" max="1513" width="13.7109375" style="201" customWidth="1"/>
    <col min="1514" max="1515" width="14.7109375" style="201" customWidth="1"/>
    <col min="1516" max="1518" width="13.7109375" style="201" customWidth="1"/>
    <col min="1519" max="1523" width="14.140625" style="201" customWidth="1"/>
    <col min="1524" max="1744" width="11.42578125" style="201"/>
    <col min="1745" max="1745" width="16.7109375" style="201" customWidth="1"/>
    <col min="1746" max="1750" width="0" style="201" hidden="1" customWidth="1"/>
    <col min="1751" max="1751" width="29.7109375" style="201" customWidth="1"/>
    <col min="1752" max="1760" width="13.7109375" style="201" customWidth="1"/>
    <col min="1761" max="1761" width="14.140625" style="201" customWidth="1"/>
    <col min="1762" max="1769" width="13.7109375" style="201" customWidth="1"/>
    <col min="1770" max="1771" width="14.7109375" style="201" customWidth="1"/>
    <col min="1772" max="1774" width="13.7109375" style="201" customWidth="1"/>
    <col min="1775" max="1779" width="14.140625" style="201" customWidth="1"/>
    <col min="1780" max="2000" width="11.42578125" style="201"/>
    <col min="2001" max="2001" width="16.7109375" style="201" customWidth="1"/>
    <col min="2002" max="2006" width="0" style="201" hidden="1" customWidth="1"/>
    <col min="2007" max="2007" width="29.7109375" style="201" customWidth="1"/>
    <col min="2008" max="2016" width="13.7109375" style="201" customWidth="1"/>
    <col min="2017" max="2017" width="14.140625" style="201" customWidth="1"/>
    <col min="2018" max="2025" width="13.7109375" style="201" customWidth="1"/>
    <col min="2026" max="2027" width="14.7109375" style="201" customWidth="1"/>
    <col min="2028" max="2030" width="13.7109375" style="201" customWidth="1"/>
    <col min="2031" max="2035" width="14.140625" style="201" customWidth="1"/>
    <col min="2036" max="2256" width="11.42578125" style="201"/>
    <col min="2257" max="2257" width="16.7109375" style="201" customWidth="1"/>
    <col min="2258" max="2262" width="0" style="201" hidden="1" customWidth="1"/>
    <col min="2263" max="2263" width="29.7109375" style="201" customWidth="1"/>
    <col min="2264" max="2272" width="13.7109375" style="201" customWidth="1"/>
    <col min="2273" max="2273" width="14.140625" style="201" customWidth="1"/>
    <col min="2274" max="2281" width="13.7109375" style="201" customWidth="1"/>
    <col min="2282" max="2283" width="14.7109375" style="201" customWidth="1"/>
    <col min="2284" max="2286" width="13.7109375" style="201" customWidth="1"/>
    <col min="2287" max="2291" width="14.140625" style="201" customWidth="1"/>
    <col min="2292" max="2512" width="11.42578125" style="201"/>
    <col min="2513" max="2513" width="16.7109375" style="201" customWidth="1"/>
    <col min="2514" max="2518" width="0" style="201" hidden="1" customWidth="1"/>
    <col min="2519" max="2519" width="29.7109375" style="201" customWidth="1"/>
    <col min="2520" max="2528" width="13.7109375" style="201" customWidth="1"/>
    <col min="2529" max="2529" width="14.140625" style="201" customWidth="1"/>
    <col min="2530" max="2537" width="13.7109375" style="201" customWidth="1"/>
    <col min="2538" max="2539" width="14.7109375" style="201" customWidth="1"/>
    <col min="2540" max="2542" width="13.7109375" style="201" customWidth="1"/>
    <col min="2543" max="2547" width="14.140625" style="201" customWidth="1"/>
    <col min="2548" max="2768" width="11.42578125" style="201"/>
    <col min="2769" max="2769" width="16.7109375" style="201" customWidth="1"/>
    <col min="2770" max="2774" width="0" style="201" hidden="1" customWidth="1"/>
    <col min="2775" max="2775" width="29.7109375" style="201" customWidth="1"/>
    <col min="2776" max="2784" width="13.7109375" style="201" customWidth="1"/>
    <col min="2785" max="2785" width="14.140625" style="201" customWidth="1"/>
    <col min="2786" max="2793" width="13.7109375" style="201" customWidth="1"/>
    <col min="2794" max="2795" width="14.7109375" style="201" customWidth="1"/>
    <col min="2796" max="2798" width="13.7109375" style="201" customWidth="1"/>
    <col min="2799" max="2803" width="14.140625" style="201" customWidth="1"/>
    <col min="2804" max="3024" width="11.42578125" style="201"/>
    <col min="3025" max="3025" width="16.7109375" style="201" customWidth="1"/>
    <col min="3026" max="3030" width="0" style="201" hidden="1" customWidth="1"/>
    <col min="3031" max="3031" width="29.7109375" style="201" customWidth="1"/>
    <col min="3032" max="3040" width="13.7109375" style="201" customWidth="1"/>
    <col min="3041" max="3041" width="14.140625" style="201" customWidth="1"/>
    <col min="3042" max="3049" width="13.7109375" style="201" customWidth="1"/>
    <col min="3050" max="3051" width="14.7109375" style="201" customWidth="1"/>
    <col min="3052" max="3054" width="13.7109375" style="201" customWidth="1"/>
    <col min="3055" max="3059" width="14.140625" style="201" customWidth="1"/>
    <col min="3060" max="3280" width="11.42578125" style="201"/>
    <col min="3281" max="3281" width="16.7109375" style="201" customWidth="1"/>
    <col min="3282" max="3286" width="0" style="201" hidden="1" customWidth="1"/>
    <col min="3287" max="3287" width="29.7109375" style="201" customWidth="1"/>
    <col min="3288" max="3296" width="13.7109375" style="201" customWidth="1"/>
    <col min="3297" max="3297" width="14.140625" style="201" customWidth="1"/>
    <col min="3298" max="3305" width="13.7109375" style="201" customWidth="1"/>
    <col min="3306" max="3307" width="14.7109375" style="201" customWidth="1"/>
    <col min="3308" max="3310" width="13.7109375" style="201" customWidth="1"/>
    <col min="3311" max="3315" width="14.140625" style="201" customWidth="1"/>
    <col min="3316" max="3536" width="11.42578125" style="201"/>
    <col min="3537" max="3537" width="16.7109375" style="201" customWidth="1"/>
    <col min="3538" max="3542" width="0" style="201" hidden="1" customWidth="1"/>
    <col min="3543" max="3543" width="29.7109375" style="201" customWidth="1"/>
    <col min="3544" max="3552" width="13.7109375" style="201" customWidth="1"/>
    <col min="3553" max="3553" width="14.140625" style="201" customWidth="1"/>
    <col min="3554" max="3561" width="13.7109375" style="201" customWidth="1"/>
    <col min="3562" max="3563" width="14.7109375" style="201" customWidth="1"/>
    <col min="3564" max="3566" width="13.7109375" style="201" customWidth="1"/>
    <col min="3567" max="3571" width="14.140625" style="201" customWidth="1"/>
    <col min="3572" max="3792" width="11.42578125" style="201"/>
    <col min="3793" max="3793" width="16.7109375" style="201" customWidth="1"/>
    <col min="3794" max="3798" width="0" style="201" hidden="1" customWidth="1"/>
    <col min="3799" max="3799" width="29.7109375" style="201" customWidth="1"/>
    <col min="3800" max="3808" width="13.7109375" style="201" customWidth="1"/>
    <col min="3809" max="3809" width="14.140625" style="201" customWidth="1"/>
    <col min="3810" max="3817" width="13.7109375" style="201" customWidth="1"/>
    <col min="3818" max="3819" width="14.7109375" style="201" customWidth="1"/>
    <col min="3820" max="3822" width="13.7109375" style="201" customWidth="1"/>
    <col min="3823" max="3827" width="14.140625" style="201" customWidth="1"/>
    <col min="3828" max="4048" width="11.42578125" style="201"/>
    <col min="4049" max="4049" width="16.7109375" style="201" customWidth="1"/>
    <col min="4050" max="4054" width="0" style="201" hidden="1" customWidth="1"/>
    <col min="4055" max="4055" width="29.7109375" style="201" customWidth="1"/>
    <col min="4056" max="4064" width="13.7109375" style="201" customWidth="1"/>
    <col min="4065" max="4065" width="14.140625" style="201" customWidth="1"/>
    <col min="4066" max="4073" width="13.7109375" style="201" customWidth="1"/>
    <col min="4074" max="4075" width="14.7109375" style="201" customWidth="1"/>
    <col min="4076" max="4078" width="13.7109375" style="201" customWidth="1"/>
    <col min="4079" max="4083" width="14.140625" style="201" customWidth="1"/>
    <col min="4084" max="4304" width="11.42578125" style="201"/>
    <col min="4305" max="4305" width="16.7109375" style="201" customWidth="1"/>
    <col min="4306" max="4310" width="0" style="201" hidden="1" customWidth="1"/>
    <col min="4311" max="4311" width="29.7109375" style="201" customWidth="1"/>
    <col min="4312" max="4320" width="13.7109375" style="201" customWidth="1"/>
    <col min="4321" max="4321" width="14.140625" style="201" customWidth="1"/>
    <col min="4322" max="4329" width="13.7109375" style="201" customWidth="1"/>
    <col min="4330" max="4331" width="14.7109375" style="201" customWidth="1"/>
    <col min="4332" max="4334" width="13.7109375" style="201" customWidth="1"/>
    <col min="4335" max="4339" width="14.140625" style="201" customWidth="1"/>
    <col min="4340" max="4560" width="11.42578125" style="201"/>
    <col min="4561" max="4561" width="16.7109375" style="201" customWidth="1"/>
    <col min="4562" max="4566" width="0" style="201" hidden="1" customWidth="1"/>
    <col min="4567" max="4567" width="29.7109375" style="201" customWidth="1"/>
    <col min="4568" max="4576" width="13.7109375" style="201" customWidth="1"/>
    <col min="4577" max="4577" width="14.140625" style="201" customWidth="1"/>
    <col min="4578" max="4585" width="13.7109375" style="201" customWidth="1"/>
    <col min="4586" max="4587" width="14.7109375" style="201" customWidth="1"/>
    <col min="4588" max="4590" width="13.7109375" style="201" customWidth="1"/>
    <col min="4591" max="4595" width="14.140625" style="201" customWidth="1"/>
    <col min="4596" max="4816" width="11.42578125" style="201"/>
    <col min="4817" max="4817" width="16.7109375" style="201" customWidth="1"/>
    <col min="4818" max="4822" width="0" style="201" hidden="1" customWidth="1"/>
    <col min="4823" max="4823" width="29.7109375" style="201" customWidth="1"/>
    <col min="4824" max="4832" width="13.7109375" style="201" customWidth="1"/>
    <col min="4833" max="4833" width="14.140625" style="201" customWidth="1"/>
    <col min="4834" max="4841" width="13.7109375" style="201" customWidth="1"/>
    <col min="4842" max="4843" width="14.7109375" style="201" customWidth="1"/>
    <col min="4844" max="4846" width="13.7109375" style="201" customWidth="1"/>
    <col min="4847" max="4851" width="14.140625" style="201" customWidth="1"/>
    <col min="4852" max="5072" width="11.42578125" style="201"/>
    <col min="5073" max="5073" width="16.7109375" style="201" customWidth="1"/>
    <col min="5074" max="5078" width="0" style="201" hidden="1" customWidth="1"/>
    <col min="5079" max="5079" width="29.7109375" style="201" customWidth="1"/>
    <col min="5080" max="5088" width="13.7109375" style="201" customWidth="1"/>
    <col min="5089" max="5089" width="14.140625" style="201" customWidth="1"/>
    <col min="5090" max="5097" width="13.7109375" style="201" customWidth="1"/>
    <col min="5098" max="5099" width="14.7109375" style="201" customWidth="1"/>
    <col min="5100" max="5102" width="13.7109375" style="201" customWidth="1"/>
    <col min="5103" max="5107" width="14.140625" style="201" customWidth="1"/>
    <col min="5108" max="5328" width="11.42578125" style="201"/>
    <col min="5329" max="5329" width="16.7109375" style="201" customWidth="1"/>
    <col min="5330" max="5334" width="0" style="201" hidden="1" customWidth="1"/>
    <col min="5335" max="5335" width="29.7109375" style="201" customWidth="1"/>
    <col min="5336" max="5344" width="13.7109375" style="201" customWidth="1"/>
    <col min="5345" max="5345" width="14.140625" style="201" customWidth="1"/>
    <col min="5346" max="5353" width="13.7109375" style="201" customWidth="1"/>
    <col min="5354" max="5355" width="14.7109375" style="201" customWidth="1"/>
    <col min="5356" max="5358" width="13.7109375" style="201" customWidth="1"/>
    <col min="5359" max="5363" width="14.140625" style="201" customWidth="1"/>
    <col min="5364" max="5584" width="11.42578125" style="201"/>
    <col min="5585" max="5585" width="16.7109375" style="201" customWidth="1"/>
    <col min="5586" max="5590" width="0" style="201" hidden="1" customWidth="1"/>
    <col min="5591" max="5591" width="29.7109375" style="201" customWidth="1"/>
    <col min="5592" max="5600" width="13.7109375" style="201" customWidth="1"/>
    <col min="5601" max="5601" width="14.140625" style="201" customWidth="1"/>
    <col min="5602" max="5609" width="13.7109375" style="201" customWidth="1"/>
    <col min="5610" max="5611" width="14.7109375" style="201" customWidth="1"/>
    <col min="5612" max="5614" width="13.7109375" style="201" customWidth="1"/>
    <col min="5615" max="5619" width="14.140625" style="201" customWidth="1"/>
    <col min="5620" max="5840" width="11.42578125" style="201"/>
    <col min="5841" max="5841" width="16.7109375" style="201" customWidth="1"/>
    <col min="5842" max="5846" width="0" style="201" hidden="1" customWidth="1"/>
    <col min="5847" max="5847" width="29.7109375" style="201" customWidth="1"/>
    <col min="5848" max="5856" width="13.7109375" style="201" customWidth="1"/>
    <col min="5857" max="5857" width="14.140625" style="201" customWidth="1"/>
    <col min="5858" max="5865" width="13.7109375" style="201" customWidth="1"/>
    <col min="5866" max="5867" width="14.7109375" style="201" customWidth="1"/>
    <col min="5868" max="5870" width="13.7109375" style="201" customWidth="1"/>
    <col min="5871" max="5875" width="14.140625" style="201" customWidth="1"/>
    <col min="5876" max="6096" width="11.42578125" style="201"/>
    <col min="6097" max="6097" width="16.7109375" style="201" customWidth="1"/>
    <col min="6098" max="6102" width="0" style="201" hidden="1" customWidth="1"/>
    <col min="6103" max="6103" width="29.7109375" style="201" customWidth="1"/>
    <col min="6104" max="6112" width="13.7109375" style="201" customWidth="1"/>
    <col min="6113" max="6113" width="14.140625" style="201" customWidth="1"/>
    <col min="6114" max="6121" width="13.7109375" style="201" customWidth="1"/>
    <col min="6122" max="6123" width="14.7109375" style="201" customWidth="1"/>
    <col min="6124" max="6126" width="13.7109375" style="201" customWidth="1"/>
    <col min="6127" max="6131" width="14.140625" style="201" customWidth="1"/>
    <col min="6132" max="6352" width="11.42578125" style="201"/>
    <col min="6353" max="6353" width="16.7109375" style="201" customWidth="1"/>
    <col min="6354" max="6358" width="0" style="201" hidden="1" customWidth="1"/>
    <col min="6359" max="6359" width="29.7109375" style="201" customWidth="1"/>
    <col min="6360" max="6368" width="13.7109375" style="201" customWidth="1"/>
    <col min="6369" max="6369" width="14.140625" style="201" customWidth="1"/>
    <col min="6370" max="6377" width="13.7109375" style="201" customWidth="1"/>
    <col min="6378" max="6379" width="14.7109375" style="201" customWidth="1"/>
    <col min="6380" max="6382" width="13.7109375" style="201" customWidth="1"/>
    <col min="6383" max="6387" width="14.140625" style="201" customWidth="1"/>
    <col min="6388" max="6608" width="11.42578125" style="201"/>
    <col min="6609" max="6609" width="16.7109375" style="201" customWidth="1"/>
    <col min="6610" max="6614" width="0" style="201" hidden="1" customWidth="1"/>
    <col min="6615" max="6615" width="29.7109375" style="201" customWidth="1"/>
    <col min="6616" max="6624" width="13.7109375" style="201" customWidth="1"/>
    <col min="6625" max="6625" width="14.140625" style="201" customWidth="1"/>
    <col min="6626" max="6633" width="13.7109375" style="201" customWidth="1"/>
    <col min="6634" max="6635" width="14.7109375" style="201" customWidth="1"/>
    <col min="6636" max="6638" width="13.7109375" style="201" customWidth="1"/>
    <col min="6639" max="6643" width="14.140625" style="201" customWidth="1"/>
    <col min="6644" max="6864" width="11.42578125" style="201"/>
    <col min="6865" max="6865" width="16.7109375" style="201" customWidth="1"/>
    <col min="6866" max="6870" width="0" style="201" hidden="1" customWidth="1"/>
    <col min="6871" max="6871" width="29.7109375" style="201" customWidth="1"/>
    <col min="6872" max="6880" width="13.7109375" style="201" customWidth="1"/>
    <col min="6881" max="6881" width="14.140625" style="201" customWidth="1"/>
    <col min="6882" max="6889" width="13.7109375" style="201" customWidth="1"/>
    <col min="6890" max="6891" width="14.7109375" style="201" customWidth="1"/>
    <col min="6892" max="6894" width="13.7109375" style="201" customWidth="1"/>
    <col min="6895" max="6899" width="14.140625" style="201" customWidth="1"/>
    <col min="6900" max="7120" width="11.42578125" style="201"/>
    <col min="7121" max="7121" width="16.7109375" style="201" customWidth="1"/>
    <col min="7122" max="7126" width="0" style="201" hidden="1" customWidth="1"/>
    <col min="7127" max="7127" width="29.7109375" style="201" customWidth="1"/>
    <col min="7128" max="7136" width="13.7109375" style="201" customWidth="1"/>
    <col min="7137" max="7137" width="14.140625" style="201" customWidth="1"/>
    <col min="7138" max="7145" width="13.7109375" style="201" customWidth="1"/>
    <col min="7146" max="7147" width="14.7109375" style="201" customWidth="1"/>
    <col min="7148" max="7150" width="13.7109375" style="201" customWidth="1"/>
    <col min="7151" max="7155" width="14.140625" style="201" customWidth="1"/>
    <col min="7156" max="7376" width="11.42578125" style="201"/>
    <col min="7377" max="7377" width="16.7109375" style="201" customWidth="1"/>
    <col min="7378" max="7382" width="0" style="201" hidden="1" customWidth="1"/>
    <col min="7383" max="7383" width="29.7109375" style="201" customWidth="1"/>
    <col min="7384" max="7392" width="13.7109375" style="201" customWidth="1"/>
    <col min="7393" max="7393" width="14.140625" style="201" customWidth="1"/>
    <col min="7394" max="7401" width="13.7109375" style="201" customWidth="1"/>
    <col min="7402" max="7403" width="14.7109375" style="201" customWidth="1"/>
    <col min="7404" max="7406" width="13.7109375" style="201" customWidth="1"/>
    <col min="7407" max="7411" width="14.140625" style="201" customWidth="1"/>
    <col min="7412" max="7632" width="11.42578125" style="201"/>
    <col min="7633" max="7633" width="16.7109375" style="201" customWidth="1"/>
    <col min="7634" max="7638" width="0" style="201" hidden="1" customWidth="1"/>
    <col min="7639" max="7639" width="29.7109375" style="201" customWidth="1"/>
    <col min="7640" max="7648" width="13.7109375" style="201" customWidth="1"/>
    <col min="7649" max="7649" width="14.140625" style="201" customWidth="1"/>
    <col min="7650" max="7657" width="13.7109375" style="201" customWidth="1"/>
    <col min="7658" max="7659" width="14.7109375" style="201" customWidth="1"/>
    <col min="7660" max="7662" width="13.7109375" style="201" customWidth="1"/>
    <col min="7663" max="7667" width="14.140625" style="201" customWidth="1"/>
    <col min="7668" max="7888" width="11.42578125" style="201"/>
    <col min="7889" max="7889" width="16.7109375" style="201" customWidth="1"/>
    <col min="7890" max="7894" width="0" style="201" hidden="1" customWidth="1"/>
    <col min="7895" max="7895" width="29.7109375" style="201" customWidth="1"/>
    <col min="7896" max="7904" width="13.7109375" style="201" customWidth="1"/>
    <col min="7905" max="7905" width="14.140625" style="201" customWidth="1"/>
    <col min="7906" max="7913" width="13.7109375" style="201" customWidth="1"/>
    <col min="7914" max="7915" width="14.7109375" style="201" customWidth="1"/>
    <col min="7916" max="7918" width="13.7109375" style="201" customWidth="1"/>
    <col min="7919" max="7923" width="14.140625" style="201" customWidth="1"/>
    <col min="7924" max="8144" width="11.42578125" style="201"/>
    <col min="8145" max="8145" width="16.7109375" style="201" customWidth="1"/>
    <col min="8146" max="8150" width="0" style="201" hidden="1" customWidth="1"/>
    <col min="8151" max="8151" width="29.7109375" style="201" customWidth="1"/>
    <col min="8152" max="8160" width="13.7109375" style="201" customWidth="1"/>
    <col min="8161" max="8161" width="14.140625" style="201" customWidth="1"/>
    <col min="8162" max="8169" width="13.7109375" style="201" customWidth="1"/>
    <col min="8170" max="8171" width="14.7109375" style="201" customWidth="1"/>
    <col min="8172" max="8174" width="13.7109375" style="201" customWidth="1"/>
    <col min="8175" max="8179" width="14.140625" style="201" customWidth="1"/>
    <col min="8180" max="8400" width="11.42578125" style="201"/>
    <col min="8401" max="8401" width="16.7109375" style="201" customWidth="1"/>
    <col min="8402" max="8406" width="0" style="201" hidden="1" customWidth="1"/>
    <col min="8407" max="8407" width="29.7109375" style="201" customWidth="1"/>
    <col min="8408" max="8416" width="13.7109375" style="201" customWidth="1"/>
    <col min="8417" max="8417" width="14.140625" style="201" customWidth="1"/>
    <col min="8418" max="8425" width="13.7109375" style="201" customWidth="1"/>
    <col min="8426" max="8427" width="14.7109375" style="201" customWidth="1"/>
    <col min="8428" max="8430" width="13.7109375" style="201" customWidth="1"/>
    <col min="8431" max="8435" width="14.140625" style="201" customWidth="1"/>
    <col min="8436" max="8656" width="11.42578125" style="201"/>
    <col min="8657" max="8657" width="16.7109375" style="201" customWidth="1"/>
    <col min="8658" max="8662" width="0" style="201" hidden="1" customWidth="1"/>
    <col min="8663" max="8663" width="29.7109375" style="201" customWidth="1"/>
    <col min="8664" max="8672" width="13.7109375" style="201" customWidth="1"/>
    <col min="8673" max="8673" width="14.140625" style="201" customWidth="1"/>
    <col min="8674" max="8681" width="13.7109375" style="201" customWidth="1"/>
    <col min="8682" max="8683" width="14.7109375" style="201" customWidth="1"/>
    <col min="8684" max="8686" width="13.7109375" style="201" customWidth="1"/>
    <col min="8687" max="8691" width="14.140625" style="201" customWidth="1"/>
    <col min="8692" max="8912" width="11.42578125" style="201"/>
    <col min="8913" max="8913" width="16.7109375" style="201" customWidth="1"/>
    <col min="8914" max="8918" width="0" style="201" hidden="1" customWidth="1"/>
    <col min="8919" max="8919" width="29.7109375" style="201" customWidth="1"/>
    <col min="8920" max="8928" width="13.7109375" style="201" customWidth="1"/>
    <col min="8929" max="8929" width="14.140625" style="201" customWidth="1"/>
    <col min="8930" max="8937" width="13.7109375" style="201" customWidth="1"/>
    <col min="8938" max="8939" width="14.7109375" style="201" customWidth="1"/>
    <col min="8940" max="8942" width="13.7109375" style="201" customWidth="1"/>
    <col min="8943" max="8947" width="14.140625" style="201" customWidth="1"/>
    <col min="8948" max="9168" width="11.42578125" style="201"/>
    <col min="9169" max="9169" width="16.7109375" style="201" customWidth="1"/>
    <col min="9170" max="9174" width="0" style="201" hidden="1" customWidth="1"/>
    <col min="9175" max="9175" width="29.7109375" style="201" customWidth="1"/>
    <col min="9176" max="9184" width="13.7109375" style="201" customWidth="1"/>
    <col min="9185" max="9185" width="14.140625" style="201" customWidth="1"/>
    <col min="9186" max="9193" width="13.7109375" style="201" customWidth="1"/>
    <col min="9194" max="9195" width="14.7109375" style="201" customWidth="1"/>
    <col min="9196" max="9198" width="13.7109375" style="201" customWidth="1"/>
    <col min="9199" max="9203" width="14.140625" style="201" customWidth="1"/>
    <col min="9204" max="9424" width="11.42578125" style="201"/>
    <col min="9425" max="9425" width="16.7109375" style="201" customWidth="1"/>
    <col min="9426" max="9430" width="0" style="201" hidden="1" customWidth="1"/>
    <col min="9431" max="9431" width="29.7109375" style="201" customWidth="1"/>
    <col min="9432" max="9440" width="13.7109375" style="201" customWidth="1"/>
    <col min="9441" max="9441" width="14.140625" style="201" customWidth="1"/>
    <col min="9442" max="9449" width="13.7109375" style="201" customWidth="1"/>
    <col min="9450" max="9451" width="14.7109375" style="201" customWidth="1"/>
    <col min="9452" max="9454" width="13.7109375" style="201" customWidth="1"/>
    <col min="9455" max="9459" width="14.140625" style="201" customWidth="1"/>
    <col min="9460" max="9680" width="11.42578125" style="201"/>
    <col min="9681" max="9681" width="16.7109375" style="201" customWidth="1"/>
    <col min="9682" max="9686" width="0" style="201" hidden="1" customWidth="1"/>
    <col min="9687" max="9687" width="29.7109375" style="201" customWidth="1"/>
    <col min="9688" max="9696" width="13.7109375" style="201" customWidth="1"/>
    <col min="9697" max="9697" width="14.140625" style="201" customWidth="1"/>
    <col min="9698" max="9705" width="13.7109375" style="201" customWidth="1"/>
    <col min="9706" max="9707" width="14.7109375" style="201" customWidth="1"/>
    <col min="9708" max="9710" width="13.7109375" style="201" customWidth="1"/>
    <col min="9711" max="9715" width="14.140625" style="201" customWidth="1"/>
    <col min="9716" max="9936" width="11.42578125" style="201"/>
    <col min="9937" max="9937" width="16.7109375" style="201" customWidth="1"/>
    <col min="9938" max="9942" width="0" style="201" hidden="1" customWidth="1"/>
    <col min="9943" max="9943" width="29.7109375" style="201" customWidth="1"/>
    <col min="9944" max="9952" width="13.7109375" style="201" customWidth="1"/>
    <col min="9953" max="9953" width="14.140625" style="201" customWidth="1"/>
    <col min="9954" max="9961" width="13.7109375" style="201" customWidth="1"/>
    <col min="9962" max="9963" width="14.7109375" style="201" customWidth="1"/>
    <col min="9964" max="9966" width="13.7109375" style="201" customWidth="1"/>
    <col min="9967" max="9971" width="14.140625" style="201" customWidth="1"/>
    <col min="9972" max="10192" width="11.42578125" style="201"/>
    <col min="10193" max="10193" width="16.7109375" style="201" customWidth="1"/>
    <col min="10194" max="10198" width="0" style="201" hidden="1" customWidth="1"/>
    <col min="10199" max="10199" width="29.7109375" style="201" customWidth="1"/>
    <col min="10200" max="10208" width="13.7109375" style="201" customWidth="1"/>
    <col min="10209" max="10209" width="14.140625" style="201" customWidth="1"/>
    <col min="10210" max="10217" width="13.7109375" style="201" customWidth="1"/>
    <col min="10218" max="10219" width="14.7109375" style="201" customWidth="1"/>
    <col min="10220" max="10222" width="13.7109375" style="201" customWidth="1"/>
    <col min="10223" max="10227" width="14.140625" style="201" customWidth="1"/>
    <col min="10228" max="10448" width="11.42578125" style="201"/>
    <col min="10449" max="10449" width="16.7109375" style="201" customWidth="1"/>
    <col min="10450" max="10454" width="0" style="201" hidden="1" customWidth="1"/>
    <col min="10455" max="10455" width="29.7109375" style="201" customWidth="1"/>
    <col min="10456" max="10464" width="13.7109375" style="201" customWidth="1"/>
    <col min="10465" max="10465" width="14.140625" style="201" customWidth="1"/>
    <col min="10466" max="10473" width="13.7109375" style="201" customWidth="1"/>
    <col min="10474" max="10475" width="14.7109375" style="201" customWidth="1"/>
    <col min="10476" max="10478" width="13.7109375" style="201" customWidth="1"/>
    <col min="10479" max="10483" width="14.140625" style="201" customWidth="1"/>
    <col min="10484" max="10704" width="11.42578125" style="201"/>
    <col min="10705" max="10705" width="16.7109375" style="201" customWidth="1"/>
    <col min="10706" max="10710" width="0" style="201" hidden="1" customWidth="1"/>
    <col min="10711" max="10711" width="29.7109375" style="201" customWidth="1"/>
    <col min="10712" max="10720" width="13.7109375" style="201" customWidth="1"/>
    <col min="10721" max="10721" width="14.140625" style="201" customWidth="1"/>
    <col min="10722" max="10729" width="13.7109375" style="201" customWidth="1"/>
    <col min="10730" max="10731" width="14.7109375" style="201" customWidth="1"/>
    <col min="10732" max="10734" width="13.7109375" style="201" customWidth="1"/>
    <col min="10735" max="10739" width="14.140625" style="201" customWidth="1"/>
    <col min="10740" max="10960" width="11.42578125" style="201"/>
    <col min="10961" max="10961" width="16.7109375" style="201" customWidth="1"/>
    <col min="10962" max="10966" width="0" style="201" hidden="1" customWidth="1"/>
    <col min="10967" max="10967" width="29.7109375" style="201" customWidth="1"/>
    <col min="10968" max="10976" width="13.7109375" style="201" customWidth="1"/>
    <col min="10977" max="10977" width="14.140625" style="201" customWidth="1"/>
    <col min="10978" max="10985" width="13.7109375" style="201" customWidth="1"/>
    <col min="10986" max="10987" width="14.7109375" style="201" customWidth="1"/>
    <col min="10988" max="10990" width="13.7109375" style="201" customWidth="1"/>
    <col min="10991" max="10995" width="14.140625" style="201" customWidth="1"/>
    <col min="10996" max="11216" width="11.42578125" style="201"/>
    <col min="11217" max="11217" width="16.7109375" style="201" customWidth="1"/>
    <col min="11218" max="11222" width="0" style="201" hidden="1" customWidth="1"/>
    <col min="11223" max="11223" width="29.7109375" style="201" customWidth="1"/>
    <col min="11224" max="11232" width="13.7109375" style="201" customWidth="1"/>
    <col min="11233" max="11233" width="14.140625" style="201" customWidth="1"/>
    <col min="11234" max="11241" width="13.7109375" style="201" customWidth="1"/>
    <col min="11242" max="11243" width="14.7109375" style="201" customWidth="1"/>
    <col min="11244" max="11246" width="13.7109375" style="201" customWidth="1"/>
    <col min="11247" max="11251" width="14.140625" style="201" customWidth="1"/>
    <col min="11252" max="11472" width="11.42578125" style="201"/>
    <col min="11473" max="11473" width="16.7109375" style="201" customWidth="1"/>
    <col min="11474" max="11478" width="0" style="201" hidden="1" customWidth="1"/>
    <col min="11479" max="11479" width="29.7109375" style="201" customWidth="1"/>
    <col min="11480" max="11488" width="13.7109375" style="201" customWidth="1"/>
    <col min="11489" max="11489" width="14.140625" style="201" customWidth="1"/>
    <col min="11490" max="11497" width="13.7109375" style="201" customWidth="1"/>
    <col min="11498" max="11499" width="14.7109375" style="201" customWidth="1"/>
    <col min="11500" max="11502" width="13.7109375" style="201" customWidth="1"/>
    <col min="11503" max="11507" width="14.140625" style="201" customWidth="1"/>
    <col min="11508" max="11728" width="11.42578125" style="201"/>
    <col min="11729" max="11729" width="16.7109375" style="201" customWidth="1"/>
    <col min="11730" max="11734" width="0" style="201" hidden="1" customWidth="1"/>
    <col min="11735" max="11735" width="29.7109375" style="201" customWidth="1"/>
    <col min="11736" max="11744" width="13.7109375" style="201" customWidth="1"/>
    <col min="11745" max="11745" width="14.140625" style="201" customWidth="1"/>
    <col min="11746" max="11753" width="13.7109375" style="201" customWidth="1"/>
    <col min="11754" max="11755" width="14.7109375" style="201" customWidth="1"/>
    <col min="11756" max="11758" width="13.7109375" style="201" customWidth="1"/>
    <col min="11759" max="11763" width="14.140625" style="201" customWidth="1"/>
    <col min="11764" max="11984" width="11.42578125" style="201"/>
    <col min="11985" max="11985" width="16.7109375" style="201" customWidth="1"/>
    <col min="11986" max="11990" width="0" style="201" hidden="1" customWidth="1"/>
    <col min="11991" max="11991" width="29.7109375" style="201" customWidth="1"/>
    <col min="11992" max="12000" width="13.7109375" style="201" customWidth="1"/>
    <col min="12001" max="12001" width="14.140625" style="201" customWidth="1"/>
    <col min="12002" max="12009" width="13.7109375" style="201" customWidth="1"/>
    <col min="12010" max="12011" width="14.7109375" style="201" customWidth="1"/>
    <col min="12012" max="12014" width="13.7109375" style="201" customWidth="1"/>
    <col min="12015" max="12019" width="14.140625" style="201" customWidth="1"/>
    <col min="12020" max="12240" width="11.42578125" style="201"/>
    <col min="12241" max="12241" width="16.7109375" style="201" customWidth="1"/>
    <col min="12242" max="12246" width="0" style="201" hidden="1" customWidth="1"/>
    <col min="12247" max="12247" width="29.7109375" style="201" customWidth="1"/>
    <col min="12248" max="12256" width="13.7109375" style="201" customWidth="1"/>
    <col min="12257" max="12257" width="14.140625" style="201" customWidth="1"/>
    <col min="12258" max="12265" width="13.7109375" style="201" customWidth="1"/>
    <col min="12266" max="12267" width="14.7109375" style="201" customWidth="1"/>
    <col min="12268" max="12270" width="13.7109375" style="201" customWidth="1"/>
    <col min="12271" max="12275" width="14.140625" style="201" customWidth="1"/>
    <col min="12276" max="12496" width="11.42578125" style="201"/>
    <col min="12497" max="12497" width="16.7109375" style="201" customWidth="1"/>
    <col min="12498" max="12502" width="0" style="201" hidden="1" customWidth="1"/>
    <col min="12503" max="12503" width="29.7109375" style="201" customWidth="1"/>
    <col min="12504" max="12512" width="13.7109375" style="201" customWidth="1"/>
    <col min="12513" max="12513" width="14.140625" style="201" customWidth="1"/>
    <col min="12514" max="12521" width="13.7109375" style="201" customWidth="1"/>
    <col min="12522" max="12523" width="14.7109375" style="201" customWidth="1"/>
    <col min="12524" max="12526" width="13.7109375" style="201" customWidth="1"/>
    <col min="12527" max="12531" width="14.140625" style="201" customWidth="1"/>
    <col min="12532" max="12752" width="11.42578125" style="201"/>
    <col min="12753" max="12753" width="16.7109375" style="201" customWidth="1"/>
    <col min="12754" max="12758" width="0" style="201" hidden="1" customWidth="1"/>
    <col min="12759" max="12759" width="29.7109375" style="201" customWidth="1"/>
    <col min="12760" max="12768" width="13.7109375" style="201" customWidth="1"/>
    <col min="12769" max="12769" width="14.140625" style="201" customWidth="1"/>
    <col min="12770" max="12777" width="13.7109375" style="201" customWidth="1"/>
    <col min="12778" max="12779" width="14.7109375" style="201" customWidth="1"/>
    <col min="12780" max="12782" width="13.7109375" style="201" customWidth="1"/>
    <col min="12783" max="12787" width="14.140625" style="201" customWidth="1"/>
    <col min="12788" max="13008" width="11.42578125" style="201"/>
    <col min="13009" max="13009" width="16.7109375" style="201" customWidth="1"/>
    <col min="13010" max="13014" width="0" style="201" hidden="1" customWidth="1"/>
    <col min="13015" max="13015" width="29.7109375" style="201" customWidth="1"/>
    <col min="13016" max="13024" width="13.7109375" style="201" customWidth="1"/>
    <col min="13025" max="13025" width="14.140625" style="201" customWidth="1"/>
    <col min="13026" max="13033" width="13.7109375" style="201" customWidth="1"/>
    <col min="13034" max="13035" width="14.7109375" style="201" customWidth="1"/>
    <col min="13036" max="13038" width="13.7109375" style="201" customWidth="1"/>
    <col min="13039" max="13043" width="14.140625" style="201" customWidth="1"/>
    <col min="13044" max="13264" width="11.42578125" style="201"/>
    <col min="13265" max="13265" width="16.7109375" style="201" customWidth="1"/>
    <col min="13266" max="13270" width="0" style="201" hidden="1" customWidth="1"/>
    <col min="13271" max="13271" width="29.7109375" style="201" customWidth="1"/>
    <col min="13272" max="13280" width="13.7109375" style="201" customWidth="1"/>
    <col min="13281" max="13281" width="14.140625" style="201" customWidth="1"/>
    <col min="13282" max="13289" width="13.7109375" style="201" customWidth="1"/>
    <col min="13290" max="13291" width="14.7109375" style="201" customWidth="1"/>
    <col min="13292" max="13294" width="13.7109375" style="201" customWidth="1"/>
    <col min="13295" max="13299" width="14.140625" style="201" customWidth="1"/>
    <col min="13300" max="13520" width="11.42578125" style="201"/>
    <col min="13521" max="13521" width="16.7109375" style="201" customWidth="1"/>
    <col min="13522" max="13526" width="0" style="201" hidden="1" customWidth="1"/>
    <col min="13527" max="13527" width="29.7109375" style="201" customWidth="1"/>
    <col min="13528" max="13536" width="13.7109375" style="201" customWidth="1"/>
    <col min="13537" max="13537" width="14.140625" style="201" customWidth="1"/>
    <col min="13538" max="13545" width="13.7109375" style="201" customWidth="1"/>
    <col min="13546" max="13547" width="14.7109375" style="201" customWidth="1"/>
    <col min="13548" max="13550" width="13.7109375" style="201" customWidth="1"/>
    <col min="13551" max="13555" width="14.140625" style="201" customWidth="1"/>
    <col min="13556" max="13776" width="11.42578125" style="201"/>
    <col min="13777" max="13777" width="16.7109375" style="201" customWidth="1"/>
    <col min="13778" max="13782" width="0" style="201" hidden="1" customWidth="1"/>
    <col min="13783" max="13783" width="29.7109375" style="201" customWidth="1"/>
    <col min="13784" max="13792" width="13.7109375" style="201" customWidth="1"/>
    <col min="13793" max="13793" width="14.140625" style="201" customWidth="1"/>
    <col min="13794" max="13801" width="13.7109375" style="201" customWidth="1"/>
    <col min="13802" max="13803" width="14.7109375" style="201" customWidth="1"/>
    <col min="13804" max="13806" width="13.7109375" style="201" customWidth="1"/>
    <col min="13807" max="13811" width="14.140625" style="201" customWidth="1"/>
    <col min="13812" max="14032" width="11.42578125" style="201"/>
    <col min="14033" max="14033" width="16.7109375" style="201" customWidth="1"/>
    <col min="14034" max="14038" width="0" style="201" hidden="1" customWidth="1"/>
    <col min="14039" max="14039" width="29.7109375" style="201" customWidth="1"/>
    <col min="14040" max="14048" width="13.7109375" style="201" customWidth="1"/>
    <col min="14049" max="14049" width="14.140625" style="201" customWidth="1"/>
    <col min="14050" max="14057" width="13.7109375" style="201" customWidth="1"/>
    <col min="14058" max="14059" width="14.7109375" style="201" customWidth="1"/>
    <col min="14060" max="14062" width="13.7109375" style="201" customWidth="1"/>
    <col min="14063" max="14067" width="14.140625" style="201" customWidth="1"/>
    <col min="14068" max="14288" width="11.42578125" style="201"/>
    <col min="14289" max="14289" width="16.7109375" style="201" customWidth="1"/>
    <col min="14290" max="14294" width="0" style="201" hidden="1" customWidth="1"/>
    <col min="14295" max="14295" width="29.7109375" style="201" customWidth="1"/>
    <col min="14296" max="14304" width="13.7109375" style="201" customWidth="1"/>
    <col min="14305" max="14305" width="14.140625" style="201" customWidth="1"/>
    <col min="14306" max="14313" width="13.7109375" style="201" customWidth="1"/>
    <col min="14314" max="14315" width="14.7109375" style="201" customWidth="1"/>
    <col min="14316" max="14318" width="13.7109375" style="201" customWidth="1"/>
    <col min="14319" max="14323" width="14.140625" style="201" customWidth="1"/>
    <col min="14324" max="14544" width="11.42578125" style="201"/>
    <col min="14545" max="14545" width="16.7109375" style="201" customWidth="1"/>
    <col min="14546" max="14550" width="0" style="201" hidden="1" customWidth="1"/>
    <col min="14551" max="14551" width="29.7109375" style="201" customWidth="1"/>
    <col min="14552" max="14560" width="13.7109375" style="201" customWidth="1"/>
    <col min="14561" max="14561" width="14.140625" style="201" customWidth="1"/>
    <col min="14562" max="14569" width="13.7109375" style="201" customWidth="1"/>
    <col min="14570" max="14571" width="14.7109375" style="201" customWidth="1"/>
    <col min="14572" max="14574" width="13.7109375" style="201" customWidth="1"/>
    <col min="14575" max="14579" width="14.140625" style="201" customWidth="1"/>
    <col min="14580" max="14800" width="11.42578125" style="201"/>
    <col min="14801" max="14801" width="16.7109375" style="201" customWidth="1"/>
    <col min="14802" max="14806" width="0" style="201" hidden="1" customWidth="1"/>
    <col min="14807" max="14807" width="29.7109375" style="201" customWidth="1"/>
    <col min="14808" max="14816" width="13.7109375" style="201" customWidth="1"/>
    <col min="14817" max="14817" width="14.140625" style="201" customWidth="1"/>
    <col min="14818" max="14825" width="13.7109375" style="201" customWidth="1"/>
    <col min="14826" max="14827" width="14.7109375" style="201" customWidth="1"/>
    <col min="14828" max="14830" width="13.7109375" style="201" customWidth="1"/>
    <col min="14831" max="14835" width="14.140625" style="201" customWidth="1"/>
    <col min="14836" max="15056" width="11.42578125" style="201"/>
    <col min="15057" max="15057" width="16.7109375" style="201" customWidth="1"/>
    <col min="15058" max="15062" width="0" style="201" hidden="1" customWidth="1"/>
    <col min="15063" max="15063" width="29.7109375" style="201" customWidth="1"/>
    <col min="15064" max="15072" width="13.7109375" style="201" customWidth="1"/>
    <col min="15073" max="15073" width="14.140625" style="201" customWidth="1"/>
    <col min="15074" max="15081" width="13.7109375" style="201" customWidth="1"/>
    <col min="15082" max="15083" width="14.7109375" style="201" customWidth="1"/>
    <col min="15084" max="15086" width="13.7109375" style="201" customWidth="1"/>
    <col min="15087" max="15091" width="14.140625" style="201" customWidth="1"/>
    <col min="15092" max="15312" width="11.42578125" style="201"/>
    <col min="15313" max="15313" width="16.7109375" style="201" customWidth="1"/>
    <col min="15314" max="15318" width="0" style="201" hidden="1" customWidth="1"/>
    <col min="15319" max="15319" width="29.7109375" style="201" customWidth="1"/>
    <col min="15320" max="15328" width="13.7109375" style="201" customWidth="1"/>
    <col min="15329" max="15329" width="14.140625" style="201" customWidth="1"/>
    <col min="15330" max="15337" width="13.7109375" style="201" customWidth="1"/>
    <col min="15338" max="15339" width="14.7109375" style="201" customWidth="1"/>
    <col min="15340" max="15342" width="13.7109375" style="201" customWidth="1"/>
    <col min="15343" max="15347" width="14.140625" style="201" customWidth="1"/>
    <col min="15348" max="15568" width="11.42578125" style="201"/>
    <col min="15569" max="15569" width="16.7109375" style="201" customWidth="1"/>
    <col min="15570" max="15574" width="0" style="201" hidden="1" customWidth="1"/>
    <col min="15575" max="15575" width="29.7109375" style="201" customWidth="1"/>
    <col min="15576" max="15584" width="13.7109375" style="201" customWidth="1"/>
    <col min="15585" max="15585" width="14.140625" style="201" customWidth="1"/>
    <col min="15586" max="15593" width="13.7109375" style="201" customWidth="1"/>
    <col min="15594" max="15595" width="14.7109375" style="201" customWidth="1"/>
    <col min="15596" max="15598" width="13.7109375" style="201" customWidth="1"/>
    <col min="15599" max="15603" width="14.140625" style="201" customWidth="1"/>
    <col min="15604" max="15824" width="11.42578125" style="201"/>
    <col min="15825" max="15825" width="16.7109375" style="201" customWidth="1"/>
    <col min="15826" max="15830" width="0" style="201" hidden="1" customWidth="1"/>
    <col min="15831" max="15831" width="29.7109375" style="201" customWidth="1"/>
    <col min="15832" max="15840" width="13.7109375" style="201" customWidth="1"/>
    <col min="15841" max="15841" width="14.140625" style="201" customWidth="1"/>
    <col min="15842" max="15849" width="13.7109375" style="201" customWidth="1"/>
    <col min="15850" max="15851" width="14.7109375" style="201" customWidth="1"/>
    <col min="15852" max="15854" width="13.7109375" style="201" customWidth="1"/>
    <col min="15855" max="15859" width="14.140625" style="201" customWidth="1"/>
    <col min="15860" max="16080" width="11.42578125" style="201"/>
    <col min="16081" max="16081" width="16.7109375" style="201" customWidth="1"/>
    <col min="16082" max="16086" width="0" style="201" hidden="1" customWidth="1"/>
    <col min="16087" max="16087" width="29.7109375" style="201" customWidth="1"/>
    <col min="16088" max="16096" width="13.7109375" style="201" customWidth="1"/>
    <col min="16097" max="16097" width="14.140625" style="201" customWidth="1"/>
    <col min="16098" max="16105" width="13.7109375" style="201" customWidth="1"/>
    <col min="16106" max="16107" width="14.7109375" style="201" customWidth="1"/>
    <col min="16108" max="16110" width="13.7109375" style="201" customWidth="1"/>
    <col min="16111" max="16115" width="14.140625" style="201" customWidth="1"/>
    <col min="16116" max="16384" width="11.42578125" style="201"/>
  </cols>
  <sheetData>
    <row r="1" spans="1:26" x14ac:dyDescent="0.2">
      <c r="A1" s="202" t="s">
        <v>496</v>
      </c>
      <c r="B1" s="201"/>
    </row>
    <row r="2" spans="1:26" x14ac:dyDescent="0.2">
      <c r="C2" s="201"/>
      <c r="D2" s="201"/>
    </row>
    <row r="3" spans="1:26" s="51" customFormat="1" x14ac:dyDescent="0.2">
      <c r="A3" s="295"/>
      <c r="B3" s="296" t="s">
        <v>398</v>
      </c>
      <c r="C3" s="303" t="s">
        <v>11</v>
      </c>
      <c r="D3" s="297">
        <v>160</v>
      </c>
      <c r="E3" s="303" t="s">
        <v>1</v>
      </c>
      <c r="F3" s="297">
        <v>900</v>
      </c>
      <c r="G3" s="303" t="s">
        <v>97</v>
      </c>
      <c r="H3" s="297">
        <v>300</v>
      </c>
      <c r="I3" s="303" t="s">
        <v>98</v>
      </c>
      <c r="J3" s="297">
        <v>3600</v>
      </c>
      <c r="K3" s="303" t="s">
        <v>99</v>
      </c>
      <c r="L3" s="297">
        <v>2400</v>
      </c>
      <c r="M3" s="303" t="s">
        <v>100</v>
      </c>
      <c r="N3" s="297">
        <v>3600</v>
      </c>
      <c r="O3" s="303" t="s">
        <v>101</v>
      </c>
      <c r="P3" s="297">
        <v>3600</v>
      </c>
      <c r="Q3" s="303" t="s">
        <v>102</v>
      </c>
      <c r="R3" s="297">
        <v>2400</v>
      </c>
      <c r="S3" s="303" t="s">
        <v>103</v>
      </c>
      <c r="T3" s="297">
        <v>2400</v>
      </c>
      <c r="U3" s="303" t="s">
        <v>104</v>
      </c>
      <c r="V3" s="297">
        <v>3200</v>
      </c>
      <c r="W3" s="303" t="s">
        <v>105</v>
      </c>
      <c r="X3" s="297">
        <v>3600</v>
      </c>
      <c r="Y3" s="303" t="s">
        <v>106</v>
      </c>
      <c r="Z3" s="297">
        <v>2400</v>
      </c>
    </row>
    <row r="4" spans="1:26" s="310" customFormat="1" ht="21" customHeight="1" x14ac:dyDescent="0.25">
      <c r="A4" s="306"/>
      <c r="B4" s="307" t="s">
        <v>369</v>
      </c>
      <c r="C4" s="308" t="s">
        <v>370</v>
      </c>
      <c r="D4" s="309" t="s">
        <v>371</v>
      </c>
      <c r="E4" s="308" t="s">
        <v>370</v>
      </c>
      <c r="F4" s="309" t="s">
        <v>371</v>
      </c>
      <c r="G4" s="308" t="s">
        <v>370</v>
      </c>
      <c r="H4" s="309" t="s">
        <v>371</v>
      </c>
      <c r="I4" s="308" t="s">
        <v>370</v>
      </c>
      <c r="J4" s="309" t="s">
        <v>371</v>
      </c>
      <c r="K4" s="308" t="s">
        <v>370</v>
      </c>
      <c r="L4" s="309" t="s">
        <v>371</v>
      </c>
      <c r="M4" s="308" t="s">
        <v>370</v>
      </c>
      <c r="N4" s="309" t="s">
        <v>371</v>
      </c>
      <c r="O4" s="308" t="s">
        <v>370</v>
      </c>
      <c r="P4" s="309" t="s">
        <v>371</v>
      </c>
      <c r="Q4" s="308" t="s">
        <v>370</v>
      </c>
      <c r="R4" s="309" t="s">
        <v>371</v>
      </c>
      <c r="S4" s="308" t="s">
        <v>370</v>
      </c>
      <c r="T4" s="309" t="s">
        <v>371</v>
      </c>
      <c r="U4" s="308" t="s">
        <v>370</v>
      </c>
      <c r="V4" s="309" t="s">
        <v>371</v>
      </c>
      <c r="W4" s="308" t="s">
        <v>370</v>
      </c>
      <c r="X4" s="309" t="s">
        <v>371</v>
      </c>
      <c r="Y4" s="308" t="s">
        <v>370</v>
      </c>
      <c r="Z4" s="309" t="s">
        <v>371</v>
      </c>
    </row>
    <row r="5" spans="1:26" s="271" customFormat="1" x14ac:dyDescent="0.2">
      <c r="A5" s="698" t="s">
        <v>492</v>
      </c>
      <c r="B5" s="195" t="s">
        <v>489</v>
      </c>
      <c r="C5" s="281" t="s">
        <v>372</v>
      </c>
      <c r="D5" s="282" t="s">
        <v>397</v>
      </c>
      <c r="E5" s="281" t="s">
        <v>372</v>
      </c>
      <c r="F5" s="282" t="s">
        <v>397</v>
      </c>
      <c r="G5" s="281" t="s">
        <v>372</v>
      </c>
      <c r="H5" s="282" t="s">
        <v>397</v>
      </c>
      <c r="I5" s="281" t="s">
        <v>372</v>
      </c>
      <c r="J5" s="282" t="s">
        <v>397</v>
      </c>
      <c r="K5" s="281" t="s">
        <v>372</v>
      </c>
      <c r="L5" s="282" t="s">
        <v>397</v>
      </c>
      <c r="M5" s="281" t="s">
        <v>372</v>
      </c>
      <c r="N5" s="282" t="s">
        <v>397</v>
      </c>
      <c r="O5" s="281" t="s">
        <v>372</v>
      </c>
      <c r="P5" s="282" t="s">
        <v>397</v>
      </c>
      <c r="Q5" s="281" t="s">
        <v>372</v>
      </c>
      <c r="R5" s="282" t="s">
        <v>397</v>
      </c>
      <c r="S5" s="281" t="s">
        <v>372</v>
      </c>
      <c r="T5" s="282" t="s">
        <v>397</v>
      </c>
      <c r="U5" s="281" t="s">
        <v>372</v>
      </c>
      <c r="V5" s="282" t="s">
        <v>397</v>
      </c>
      <c r="W5" s="281" t="s">
        <v>372</v>
      </c>
      <c r="X5" s="282" t="s">
        <v>397</v>
      </c>
      <c r="Y5" s="281" t="s">
        <v>372</v>
      </c>
      <c r="Z5" s="282" t="s">
        <v>397</v>
      </c>
    </row>
    <row r="6" spans="1:26" x14ac:dyDescent="0.2">
      <c r="A6" s="699"/>
      <c r="B6" s="205" t="s">
        <v>373</v>
      </c>
      <c r="C6" s="230">
        <v>65347</v>
      </c>
      <c r="D6" s="231">
        <v>408.4</v>
      </c>
      <c r="E6" s="230">
        <v>292338</v>
      </c>
      <c r="F6" s="231">
        <v>324.8</v>
      </c>
      <c r="G6" s="230">
        <v>116621</v>
      </c>
      <c r="H6" s="231">
        <v>388.7</v>
      </c>
      <c r="I6" s="230">
        <v>695708</v>
      </c>
      <c r="J6" s="231">
        <v>193.3</v>
      </c>
      <c r="K6" s="230">
        <v>581218</v>
      </c>
      <c r="L6" s="231">
        <v>242.2</v>
      </c>
      <c r="M6" s="230">
        <v>760868</v>
      </c>
      <c r="N6" s="231">
        <v>211.4</v>
      </c>
      <c r="O6" s="230">
        <v>1003762</v>
      </c>
      <c r="P6" s="231">
        <v>278.8</v>
      </c>
      <c r="Q6" s="230">
        <v>505356</v>
      </c>
      <c r="R6" s="231">
        <v>210.6</v>
      </c>
      <c r="S6" s="230">
        <v>696274</v>
      </c>
      <c r="T6" s="231">
        <v>290.10000000000002</v>
      </c>
      <c r="U6" s="230">
        <v>1244402</v>
      </c>
      <c r="V6" s="231">
        <v>388.9</v>
      </c>
      <c r="W6" s="230">
        <v>861870</v>
      </c>
      <c r="X6" s="231">
        <v>239.4</v>
      </c>
      <c r="Y6" s="230">
        <v>731311</v>
      </c>
      <c r="Z6" s="273">
        <v>304.7</v>
      </c>
    </row>
    <row r="7" spans="1:26" x14ac:dyDescent="0.2">
      <c r="A7" s="699"/>
      <c r="B7" s="205" t="s">
        <v>374</v>
      </c>
      <c r="C7" s="230">
        <v>0</v>
      </c>
      <c r="D7" s="231">
        <v>0</v>
      </c>
      <c r="E7" s="230">
        <v>0</v>
      </c>
      <c r="F7" s="231">
        <v>0</v>
      </c>
      <c r="G7" s="230">
        <v>20693</v>
      </c>
      <c r="H7" s="231">
        <v>69</v>
      </c>
      <c r="I7" s="230">
        <v>217618</v>
      </c>
      <c r="J7" s="231">
        <v>60.4</v>
      </c>
      <c r="K7" s="230">
        <v>194784</v>
      </c>
      <c r="L7" s="231">
        <v>81.2</v>
      </c>
      <c r="M7" s="230">
        <v>283439</v>
      </c>
      <c r="N7" s="231">
        <v>78.7</v>
      </c>
      <c r="O7" s="230">
        <v>652030</v>
      </c>
      <c r="P7" s="231">
        <v>181.1</v>
      </c>
      <c r="Q7" s="230">
        <v>431433</v>
      </c>
      <c r="R7" s="231">
        <v>179.8</v>
      </c>
      <c r="S7" s="230">
        <v>253987</v>
      </c>
      <c r="T7" s="231">
        <v>105.8</v>
      </c>
      <c r="U7" s="230">
        <v>276624</v>
      </c>
      <c r="V7" s="231">
        <v>86.4</v>
      </c>
      <c r="W7" s="230">
        <v>493752</v>
      </c>
      <c r="X7" s="231">
        <v>137.19999999999999</v>
      </c>
      <c r="Y7" s="230">
        <v>159631</v>
      </c>
      <c r="Z7" s="273">
        <v>66.5</v>
      </c>
    </row>
    <row r="8" spans="1:26" x14ac:dyDescent="0.2">
      <c r="A8" s="699"/>
      <c r="B8" s="205" t="s">
        <v>375</v>
      </c>
      <c r="C8" s="230">
        <v>4765</v>
      </c>
      <c r="D8" s="231">
        <v>29.8</v>
      </c>
      <c r="E8" s="230">
        <v>26792</v>
      </c>
      <c r="F8" s="231">
        <v>29.8</v>
      </c>
      <c r="G8" s="230">
        <v>3007</v>
      </c>
      <c r="H8" s="231">
        <v>10</v>
      </c>
      <c r="I8" s="230">
        <v>18040</v>
      </c>
      <c r="J8" s="231">
        <v>5</v>
      </c>
      <c r="K8" s="230">
        <v>23530</v>
      </c>
      <c r="L8" s="231">
        <v>9.8000000000000007</v>
      </c>
      <c r="M8" s="230">
        <v>18040</v>
      </c>
      <c r="N8" s="231">
        <v>5</v>
      </c>
      <c r="O8" s="230">
        <v>107170</v>
      </c>
      <c r="P8" s="231">
        <v>29.8</v>
      </c>
      <c r="Q8" s="230">
        <v>71482</v>
      </c>
      <c r="R8" s="231">
        <v>29.8</v>
      </c>
      <c r="S8" s="230">
        <v>71482</v>
      </c>
      <c r="T8" s="231">
        <v>29.8</v>
      </c>
      <c r="U8" s="230">
        <v>156864</v>
      </c>
      <c r="V8" s="231">
        <v>49</v>
      </c>
      <c r="W8" s="230">
        <v>36408</v>
      </c>
      <c r="X8" s="231">
        <v>10.1</v>
      </c>
      <c r="Y8" s="230">
        <v>24054</v>
      </c>
      <c r="Z8" s="273">
        <v>10</v>
      </c>
    </row>
    <row r="9" spans="1:26" x14ac:dyDescent="0.2">
      <c r="A9" s="699"/>
      <c r="B9" s="205" t="s">
        <v>376</v>
      </c>
      <c r="C9" s="230">
        <v>0</v>
      </c>
      <c r="D9" s="231">
        <v>0</v>
      </c>
      <c r="E9" s="230">
        <v>0</v>
      </c>
      <c r="F9" s="231">
        <v>0</v>
      </c>
      <c r="G9" s="230">
        <v>13572</v>
      </c>
      <c r="H9" s="231">
        <v>45.2</v>
      </c>
      <c r="I9" s="230">
        <v>156600</v>
      </c>
      <c r="J9" s="231">
        <v>43.5</v>
      </c>
      <c r="K9" s="230">
        <v>119244</v>
      </c>
      <c r="L9" s="231">
        <v>49.7</v>
      </c>
      <c r="M9" s="230">
        <v>203537</v>
      </c>
      <c r="N9" s="231">
        <v>56.5</v>
      </c>
      <c r="O9" s="230">
        <v>454117</v>
      </c>
      <c r="P9" s="231">
        <v>126.1</v>
      </c>
      <c r="Q9" s="230">
        <v>265534</v>
      </c>
      <c r="R9" s="231">
        <v>110.6</v>
      </c>
      <c r="S9" s="230">
        <v>184952</v>
      </c>
      <c r="T9" s="231">
        <v>77.099999999999994</v>
      </c>
      <c r="U9" s="230">
        <v>137588</v>
      </c>
      <c r="V9" s="231">
        <v>43</v>
      </c>
      <c r="W9" s="230">
        <v>374400</v>
      </c>
      <c r="X9" s="231">
        <v>104</v>
      </c>
      <c r="Y9" s="230">
        <v>116928</v>
      </c>
      <c r="Z9" s="273">
        <v>48.7</v>
      </c>
    </row>
    <row r="10" spans="1:26" x14ac:dyDescent="0.2">
      <c r="A10" s="699"/>
      <c r="B10" s="205" t="s">
        <v>377</v>
      </c>
      <c r="C10" s="230">
        <v>232</v>
      </c>
      <c r="D10" s="231">
        <v>1.4</v>
      </c>
      <c r="E10" s="230">
        <v>1102</v>
      </c>
      <c r="F10" s="231">
        <v>1.2</v>
      </c>
      <c r="G10" s="230">
        <v>585</v>
      </c>
      <c r="H10" s="231">
        <v>2</v>
      </c>
      <c r="I10" s="230">
        <v>8782</v>
      </c>
      <c r="J10" s="231">
        <v>2.4</v>
      </c>
      <c r="K10" s="230">
        <v>4635</v>
      </c>
      <c r="L10" s="231">
        <v>1.9</v>
      </c>
      <c r="M10" s="230">
        <v>10037</v>
      </c>
      <c r="N10" s="231">
        <v>2.8</v>
      </c>
      <c r="O10" s="230">
        <v>12236</v>
      </c>
      <c r="P10" s="231">
        <v>3.4</v>
      </c>
      <c r="Q10" s="230">
        <v>3679</v>
      </c>
      <c r="R10" s="231">
        <v>1.5</v>
      </c>
      <c r="S10" s="230">
        <v>7124</v>
      </c>
      <c r="T10" s="231">
        <v>3</v>
      </c>
      <c r="U10" s="230">
        <v>6242</v>
      </c>
      <c r="V10" s="231">
        <v>2</v>
      </c>
      <c r="W10" s="230">
        <v>14035</v>
      </c>
      <c r="X10" s="231">
        <v>3.9</v>
      </c>
      <c r="Y10" s="230">
        <v>6980</v>
      </c>
      <c r="Z10" s="273">
        <v>2.9</v>
      </c>
    </row>
    <row r="11" spans="1:26" x14ac:dyDescent="0.2">
      <c r="A11" s="699"/>
      <c r="B11" s="205" t="s">
        <v>378</v>
      </c>
      <c r="C11" s="230">
        <v>2164</v>
      </c>
      <c r="D11" s="231">
        <v>13.5</v>
      </c>
      <c r="E11" s="230">
        <v>12175</v>
      </c>
      <c r="F11" s="231">
        <v>13.5</v>
      </c>
      <c r="G11" s="230">
        <v>15269</v>
      </c>
      <c r="H11" s="231">
        <v>50.9</v>
      </c>
      <c r="I11" s="230">
        <v>211453</v>
      </c>
      <c r="J11" s="231">
        <v>58.7</v>
      </c>
      <c r="K11" s="230">
        <v>125759</v>
      </c>
      <c r="L11" s="231">
        <v>52.4</v>
      </c>
      <c r="M11" s="230">
        <v>211453</v>
      </c>
      <c r="N11" s="231">
        <v>58.7</v>
      </c>
      <c r="O11" s="230">
        <v>374581</v>
      </c>
      <c r="P11" s="231">
        <v>104.1</v>
      </c>
      <c r="Q11" s="230">
        <v>249557</v>
      </c>
      <c r="R11" s="231">
        <v>104</v>
      </c>
      <c r="S11" s="230">
        <v>249557</v>
      </c>
      <c r="T11" s="231">
        <v>104</v>
      </c>
      <c r="U11" s="230">
        <v>154800</v>
      </c>
      <c r="V11" s="231">
        <v>48.4</v>
      </c>
      <c r="W11" s="230">
        <v>473873</v>
      </c>
      <c r="X11" s="231">
        <v>131.6</v>
      </c>
      <c r="Y11" s="230">
        <v>131544</v>
      </c>
      <c r="Z11" s="273">
        <v>54.8</v>
      </c>
    </row>
    <row r="12" spans="1:26" x14ac:dyDescent="0.2">
      <c r="A12" s="699"/>
      <c r="B12" s="205" t="s">
        <v>379</v>
      </c>
      <c r="C12" s="230">
        <v>3329</v>
      </c>
      <c r="D12" s="231">
        <v>20.8</v>
      </c>
      <c r="E12" s="230">
        <v>18727</v>
      </c>
      <c r="F12" s="231">
        <v>20.8</v>
      </c>
      <c r="G12" s="230">
        <v>2036</v>
      </c>
      <c r="H12" s="231">
        <v>6.8</v>
      </c>
      <c r="I12" s="230">
        <v>155070</v>
      </c>
      <c r="J12" s="231">
        <v>43.1</v>
      </c>
      <c r="K12" s="230">
        <v>40248</v>
      </c>
      <c r="L12" s="231">
        <v>16.8</v>
      </c>
      <c r="M12" s="230">
        <v>155070</v>
      </c>
      <c r="N12" s="231">
        <v>43.1</v>
      </c>
      <c r="O12" s="230">
        <v>199728</v>
      </c>
      <c r="P12" s="231">
        <v>55.5</v>
      </c>
      <c r="Q12" s="230">
        <v>66576</v>
      </c>
      <c r="R12" s="231">
        <v>27.7</v>
      </c>
      <c r="S12" s="230">
        <v>16644</v>
      </c>
      <c r="T12" s="231">
        <v>6.9</v>
      </c>
      <c r="U12" s="230">
        <v>10320</v>
      </c>
      <c r="V12" s="231">
        <v>3.2</v>
      </c>
      <c r="W12" s="230">
        <v>16848</v>
      </c>
      <c r="X12" s="231">
        <v>4.7</v>
      </c>
      <c r="Y12" s="230">
        <v>8770</v>
      </c>
      <c r="Z12" s="273">
        <v>3.7</v>
      </c>
    </row>
    <row r="13" spans="1:26" x14ac:dyDescent="0.2">
      <c r="A13" s="699"/>
      <c r="B13" s="205" t="s">
        <v>380</v>
      </c>
      <c r="C13" s="230">
        <v>0</v>
      </c>
      <c r="D13" s="231">
        <v>0</v>
      </c>
      <c r="E13" s="235">
        <v>0</v>
      </c>
      <c r="F13" s="231">
        <v>0</v>
      </c>
      <c r="G13" s="230">
        <v>0</v>
      </c>
      <c r="H13" s="231">
        <v>0</v>
      </c>
      <c r="I13" s="230">
        <v>0</v>
      </c>
      <c r="J13" s="231">
        <v>0</v>
      </c>
      <c r="K13" s="230">
        <v>0</v>
      </c>
      <c r="L13" s="231">
        <v>0</v>
      </c>
      <c r="M13" s="230">
        <v>0</v>
      </c>
      <c r="N13" s="231">
        <v>0</v>
      </c>
      <c r="O13" s="230">
        <v>0</v>
      </c>
      <c r="P13" s="231">
        <v>0</v>
      </c>
      <c r="Q13" s="230">
        <v>0</v>
      </c>
      <c r="R13" s="231">
        <v>0</v>
      </c>
      <c r="S13" s="230">
        <v>0</v>
      </c>
      <c r="T13" s="231">
        <v>0</v>
      </c>
      <c r="U13" s="230">
        <v>0</v>
      </c>
      <c r="V13" s="231">
        <v>0</v>
      </c>
      <c r="W13" s="230">
        <v>0</v>
      </c>
      <c r="X13" s="231">
        <v>0</v>
      </c>
      <c r="Y13" s="230">
        <v>0</v>
      </c>
      <c r="Z13" s="273">
        <v>0</v>
      </c>
    </row>
    <row r="14" spans="1:26" x14ac:dyDescent="0.2">
      <c r="A14" s="699"/>
      <c r="B14" s="205" t="s">
        <v>381</v>
      </c>
      <c r="C14" s="230">
        <v>0</v>
      </c>
      <c r="D14" s="231">
        <v>0</v>
      </c>
      <c r="E14" s="235">
        <v>0</v>
      </c>
      <c r="F14" s="231">
        <v>0</v>
      </c>
      <c r="G14" s="230">
        <v>0</v>
      </c>
      <c r="H14" s="231">
        <v>0</v>
      </c>
      <c r="I14" s="230">
        <v>27840</v>
      </c>
      <c r="J14" s="231">
        <v>7.7</v>
      </c>
      <c r="K14" s="230">
        <v>0</v>
      </c>
      <c r="L14" s="231">
        <v>0</v>
      </c>
      <c r="M14" s="230">
        <v>35848</v>
      </c>
      <c r="N14" s="231">
        <v>10</v>
      </c>
      <c r="O14" s="230">
        <v>68351</v>
      </c>
      <c r="P14" s="231">
        <v>19</v>
      </c>
      <c r="Q14" s="230">
        <v>0</v>
      </c>
      <c r="R14" s="231">
        <v>0</v>
      </c>
      <c r="S14" s="230">
        <v>29653</v>
      </c>
      <c r="T14" s="231">
        <v>12.4</v>
      </c>
      <c r="U14" s="230">
        <v>0</v>
      </c>
      <c r="V14" s="231">
        <v>0</v>
      </c>
      <c r="W14" s="230">
        <v>70164</v>
      </c>
      <c r="X14" s="231">
        <v>19.5</v>
      </c>
      <c r="Y14" s="230">
        <v>22221</v>
      </c>
      <c r="Z14" s="273">
        <v>9.3000000000000007</v>
      </c>
    </row>
    <row r="15" spans="1:26" s="20" customFormat="1" x14ac:dyDescent="0.2">
      <c r="A15" s="700"/>
      <c r="B15" s="284" t="s">
        <v>382</v>
      </c>
      <c r="C15" s="275">
        <v>75837</v>
      </c>
      <c r="D15" s="276">
        <v>474</v>
      </c>
      <c r="E15" s="277">
        <v>351135</v>
      </c>
      <c r="F15" s="278">
        <v>390.2</v>
      </c>
      <c r="G15" s="275">
        <v>171783</v>
      </c>
      <c r="H15" s="276">
        <v>572.6</v>
      </c>
      <c r="I15" s="275">
        <v>1491110</v>
      </c>
      <c r="J15" s="276">
        <v>414.2</v>
      </c>
      <c r="K15" s="275">
        <v>1089416</v>
      </c>
      <c r="L15" s="276">
        <v>453.9</v>
      </c>
      <c r="M15" s="275">
        <v>1678292</v>
      </c>
      <c r="N15" s="276">
        <v>466.2</v>
      </c>
      <c r="O15" s="275">
        <v>2871975</v>
      </c>
      <c r="P15" s="276">
        <v>797.8</v>
      </c>
      <c r="Q15" s="275">
        <v>1593617</v>
      </c>
      <c r="R15" s="276">
        <v>664</v>
      </c>
      <c r="S15" s="275">
        <v>1509672</v>
      </c>
      <c r="T15" s="276">
        <v>629</v>
      </c>
      <c r="U15" s="275">
        <v>1986840</v>
      </c>
      <c r="V15" s="276">
        <v>620.9</v>
      </c>
      <c r="W15" s="275">
        <v>2341350</v>
      </c>
      <c r="X15" s="276">
        <v>650.4</v>
      </c>
      <c r="Y15" s="275">
        <v>1201439</v>
      </c>
      <c r="Z15" s="279">
        <v>500.6</v>
      </c>
    </row>
    <row r="16" spans="1:26" s="20" customFormat="1" x14ac:dyDescent="0.2">
      <c r="A16" s="266"/>
      <c r="B16" s="227"/>
      <c r="C16" s="267"/>
      <c r="D16" s="232"/>
      <c r="E16" s="268"/>
      <c r="F16" s="237"/>
      <c r="G16" s="267"/>
      <c r="H16" s="232"/>
      <c r="I16" s="267"/>
      <c r="J16" s="232"/>
      <c r="K16" s="267"/>
      <c r="L16" s="232"/>
      <c r="M16" s="267"/>
      <c r="N16" s="232"/>
      <c r="O16" s="267"/>
      <c r="P16" s="232"/>
      <c r="Q16" s="267"/>
      <c r="R16" s="232"/>
      <c r="S16" s="267"/>
      <c r="T16" s="232"/>
      <c r="U16" s="267"/>
      <c r="V16" s="232"/>
      <c r="W16" s="267"/>
      <c r="X16" s="232"/>
      <c r="Y16" s="267"/>
      <c r="Z16" s="232"/>
    </row>
    <row r="17" spans="1:27" s="202" customFormat="1" x14ac:dyDescent="0.2">
      <c r="A17" s="698" t="s">
        <v>493</v>
      </c>
      <c r="B17" s="269" t="s">
        <v>488</v>
      </c>
      <c r="C17" s="304" t="s">
        <v>486</v>
      </c>
      <c r="D17" s="280" t="s">
        <v>487</v>
      </c>
      <c r="E17" s="304" t="s">
        <v>486</v>
      </c>
      <c r="F17" s="280" t="s">
        <v>487</v>
      </c>
      <c r="G17" s="304" t="s">
        <v>486</v>
      </c>
      <c r="H17" s="280" t="s">
        <v>487</v>
      </c>
      <c r="I17" s="304" t="s">
        <v>486</v>
      </c>
      <c r="J17" s="280" t="s">
        <v>487</v>
      </c>
      <c r="K17" s="304" t="s">
        <v>486</v>
      </c>
      <c r="L17" s="280" t="s">
        <v>487</v>
      </c>
      <c r="M17" s="304" t="s">
        <v>486</v>
      </c>
      <c r="N17" s="280" t="s">
        <v>487</v>
      </c>
      <c r="O17" s="304" t="s">
        <v>486</v>
      </c>
      <c r="P17" s="280" t="s">
        <v>487</v>
      </c>
      <c r="Q17" s="304" t="s">
        <v>486</v>
      </c>
      <c r="R17" s="280" t="s">
        <v>487</v>
      </c>
      <c r="S17" s="304" t="s">
        <v>486</v>
      </c>
      <c r="T17" s="280" t="s">
        <v>487</v>
      </c>
      <c r="U17" s="304" t="s">
        <v>486</v>
      </c>
      <c r="V17" s="280" t="s">
        <v>487</v>
      </c>
      <c r="W17" s="304" t="s">
        <v>486</v>
      </c>
      <c r="X17" s="280" t="s">
        <v>487</v>
      </c>
      <c r="Y17" s="304" t="s">
        <v>486</v>
      </c>
      <c r="Z17" s="280" t="s">
        <v>487</v>
      </c>
      <c r="AA17" s="420"/>
    </row>
    <row r="18" spans="1:27" x14ac:dyDescent="0.2">
      <c r="A18" s="699"/>
      <c r="B18" s="144" t="s">
        <v>252</v>
      </c>
      <c r="C18" s="209">
        <f>'6 Oversikt startpunkt'!B78</f>
        <v>0.96</v>
      </c>
      <c r="D18" s="209">
        <f>'7 Passivhusnivå'!C27</f>
        <v>0.1</v>
      </c>
      <c r="E18" s="305">
        <f>'6 Oversikt startpunkt'!C78</f>
        <v>1.3</v>
      </c>
      <c r="F18" s="209">
        <f>'7 Passivhusnivå'!D27</f>
        <v>0.14000000000000001</v>
      </c>
      <c r="G18" s="305">
        <f>'6 Oversikt startpunkt'!D78</f>
        <v>0.96</v>
      </c>
      <c r="H18" s="209">
        <f>'7 Passivhusnivå'!F27</f>
        <v>0.14000000000000001</v>
      </c>
      <c r="I18" s="305">
        <f>'6 Oversikt startpunkt'!E78</f>
        <v>1.3</v>
      </c>
      <c r="J18" s="209">
        <f>'7 Passivhusnivå'!G27</f>
        <v>0.16</v>
      </c>
      <c r="K18" s="305">
        <f>'6 Oversikt startpunkt'!F78</f>
        <v>1.3</v>
      </c>
      <c r="L18" s="209">
        <f>'7 Passivhusnivå'!H27</f>
        <v>0.16</v>
      </c>
      <c r="M18" s="305">
        <f>'6 Oversikt startpunkt'!G78</f>
        <v>1.3</v>
      </c>
      <c r="N18" s="209">
        <f>'7 Passivhusnivå'!I27</f>
        <v>0.16</v>
      </c>
      <c r="O18" s="305">
        <f>'6 Oversikt startpunkt'!H78</f>
        <v>1.3</v>
      </c>
      <c r="P18" s="209">
        <f>'7 Passivhusnivå'!J27</f>
        <v>0.16</v>
      </c>
      <c r="Q18" s="305">
        <f>'6 Oversikt startpunkt'!I78</f>
        <v>0.96</v>
      </c>
      <c r="R18" s="209">
        <f>'7 Passivhusnivå'!K27</f>
        <v>0.16</v>
      </c>
      <c r="S18" s="305">
        <f>'6 Oversikt startpunkt'!J78</f>
        <v>1.3</v>
      </c>
      <c r="T18" s="209">
        <f>'7 Passivhusnivå'!L27</f>
        <v>0.14000000000000001</v>
      </c>
      <c r="U18" s="305">
        <f>'6 Oversikt startpunkt'!K78</f>
        <v>1.3</v>
      </c>
      <c r="V18" s="209">
        <f>'7 Passivhusnivå'!M27</f>
        <v>0.1</v>
      </c>
      <c r="W18" s="305">
        <f>'6 Oversikt startpunkt'!L78</f>
        <v>1.3</v>
      </c>
      <c r="X18" s="209">
        <f>'7 Passivhusnivå'!N27</f>
        <v>0.16</v>
      </c>
      <c r="Y18" s="305">
        <f>'6 Oversikt startpunkt'!M78</f>
        <v>1.3</v>
      </c>
      <c r="Z18" s="209">
        <f>'7 Passivhusnivå'!O27</f>
        <v>0.16</v>
      </c>
      <c r="AA18" s="243"/>
    </row>
    <row r="19" spans="1:27" x14ac:dyDescent="0.2">
      <c r="A19" s="699"/>
      <c r="B19" s="144" t="s">
        <v>13</v>
      </c>
      <c r="C19" s="209">
        <f>'6 Oversikt startpunkt'!B83</f>
        <v>5</v>
      </c>
      <c r="D19" s="270">
        <f>(C19+'7 Passivhusnivå'!C32)*0.5</f>
        <v>2.8</v>
      </c>
      <c r="E19" s="305">
        <f>'6 Oversikt startpunkt'!C83</f>
        <v>2.5</v>
      </c>
      <c r="F19" s="270">
        <f>(E19+'7 Passivhusnivå'!D32)*0.5</f>
        <v>1.55</v>
      </c>
      <c r="G19" s="305">
        <f>'6 Oversikt startpunkt'!D83</f>
        <v>3</v>
      </c>
      <c r="H19" s="270">
        <f>(G19+'7 Passivhusnivå'!F32)*0.5</f>
        <v>1.8</v>
      </c>
      <c r="I19" s="305">
        <f>'6 Oversikt startpunkt'!E83</f>
        <v>2.5</v>
      </c>
      <c r="J19" s="270">
        <f>(I19+'7 Passivhusnivå'!G32)*0.5</f>
        <v>1.55</v>
      </c>
      <c r="K19" s="305">
        <f>'6 Oversikt startpunkt'!F83</f>
        <v>3</v>
      </c>
      <c r="L19" s="270">
        <f>(K19+'7 Passivhusnivå'!H32)*0.5</f>
        <v>1.8</v>
      </c>
      <c r="M19" s="305">
        <f>'6 Oversikt startpunkt'!G83</f>
        <v>2.5</v>
      </c>
      <c r="N19" s="270">
        <f>(M19+'7 Passivhusnivå'!I32)*0.5</f>
        <v>1.55</v>
      </c>
      <c r="O19" s="305">
        <f>'6 Oversikt startpunkt'!H83</f>
        <v>2.5</v>
      </c>
      <c r="P19" s="270">
        <f>(O19+'7 Passivhusnivå'!J32)*0.5</f>
        <v>1.55</v>
      </c>
      <c r="Q19" s="305">
        <f>'6 Oversikt startpunkt'!I83</f>
        <v>3</v>
      </c>
      <c r="R19" s="270">
        <f>(Q19+'7 Passivhusnivå'!K32)*0.5</f>
        <v>1.8</v>
      </c>
      <c r="S19" s="305">
        <f>'6 Oversikt startpunkt'!J83</f>
        <v>3</v>
      </c>
      <c r="T19" s="270">
        <f>(S19+'7 Passivhusnivå'!L32)*0.5</f>
        <v>1.8</v>
      </c>
      <c r="U19" s="305">
        <f>'6 Oversikt startpunkt'!K83</f>
        <v>3</v>
      </c>
      <c r="V19" s="270">
        <f>(U19+'7 Passivhusnivå'!M32)*0.5</f>
        <v>1.8</v>
      </c>
      <c r="W19" s="305">
        <f>'6 Oversikt startpunkt'!L83</f>
        <v>2.5</v>
      </c>
      <c r="X19" s="270">
        <f>(W19+'7 Passivhusnivå'!N32)*0.5</f>
        <v>1.55</v>
      </c>
      <c r="Y19" s="305">
        <f>'6 Oversikt startpunkt'!M83</f>
        <v>3</v>
      </c>
      <c r="Z19" s="312">
        <f>(Y19+'7 Passivhusnivå'!O32)*0.5</f>
        <v>1.8</v>
      </c>
    </row>
    <row r="20" spans="1:27" x14ac:dyDescent="0.2">
      <c r="A20" s="699"/>
      <c r="B20" s="144" t="s">
        <v>267</v>
      </c>
      <c r="C20" s="305">
        <f>'6 Oversikt startpunkt'!B82</f>
        <v>0.05</v>
      </c>
      <c r="D20" s="399">
        <f>'7 Passivhusnivå'!C31</f>
        <v>0.03</v>
      </c>
      <c r="E20" s="209">
        <f>'6 Oversikt startpunkt'!C82</f>
        <v>0.12</v>
      </c>
      <c r="F20" s="209">
        <f>'7 Passivhusnivå'!D31</f>
        <v>0.03</v>
      </c>
      <c r="G20" s="305">
        <f>'6 Oversikt startpunkt'!D82</f>
        <v>0.03</v>
      </c>
      <c r="H20" s="399">
        <f>'7 Passivhusnivå'!F31</f>
        <v>0.03</v>
      </c>
      <c r="I20" s="209">
        <f>'6 Oversikt startpunkt'!E82</f>
        <v>0.06</v>
      </c>
      <c r="J20" s="209">
        <f>'7 Passivhusnivå'!G31</f>
        <v>0.03</v>
      </c>
      <c r="K20" s="305">
        <f>'6 Oversikt startpunkt'!F82</f>
        <v>0.06</v>
      </c>
      <c r="L20" s="399">
        <f>'7 Passivhusnivå'!H31</f>
        <v>0.03</v>
      </c>
      <c r="M20" s="209">
        <f>'6 Oversikt startpunkt'!G82</f>
        <v>0.06</v>
      </c>
      <c r="N20" s="209">
        <f>'7 Passivhusnivå'!I31</f>
        <v>0.03</v>
      </c>
      <c r="O20" s="305">
        <f>'6 Oversikt startpunkt'!H82</f>
        <v>0.06</v>
      </c>
      <c r="P20" s="399">
        <f>'7 Passivhusnivå'!J31</f>
        <v>0.03</v>
      </c>
      <c r="Q20" s="209">
        <f>'6 Oversikt startpunkt'!I82</f>
        <v>0.03</v>
      </c>
      <c r="R20" s="209">
        <f>'7 Passivhusnivå'!K31</f>
        <v>0.03</v>
      </c>
      <c r="S20" s="305">
        <f>'6 Oversikt startpunkt'!J82</f>
        <v>0.06</v>
      </c>
      <c r="T20" s="399">
        <f>'7 Passivhusnivå'!L31</f>
        <v>0.03</v>
      </c>
      <c r="U20" s="209">
        <f>'6 Oversikt startpunkt'!K82</f>
        <v>0.06</v>
      </c>
      <c r="V20" s="209">
        <f>'7 Passivhusnivå'!M31</f>
        <v>0.03</v>
      </c>
      <c r="W20" s="305">
        <f>'6 Oversikt startpunkt'!L82</f>
        <v>0.06</v>
      </c>
      <c r="X20" s="399">
        <f>'7 Passivhusnivå'!N31</f>
        <v>0.03</v>
      </c>
      <c r="Y20" s="209">
        <f>'6 Oversikt startpunkt'!M82</f>
        <v>0.06</v>
      </c>
      <c r="Z20" s="209">
        <f>'7 Passivhusnivå'!O31</f>
        <v>0.03</v>
      </c>
    </row>
    <row r="21" spans="1:27" s="216" customFormat="1" x14ac:dyDescent="0.2">
      <c r="A21" s="699"/>
      <c r="B21" s="288" t="s">
        <v>490</v>
      </c>
      <c r="C21" s="289" t="s">
        <v>372</v>
      </c>
      <c r="D21" s="290" t="s">
        <v>397</v>
      </c>
      <c r="E21" s="289" t="s">
        <v>372</v>
      </c>
      <c r="F21" s="291" t="s">
        <v>397</v>
      </c>
      <c r="G21" s="292" t="s">
        <v>372</v>
      </c>
      <c r="H21" s="290" t="s">
        <v>397</v>
      </c>
      <c r="I21" s="289" t="s">
        <v>372</v>
      </c>
      <c r="J21" s="291" t="s">
        <v>397</v>
      </c>
      <c r="K21" s="292" t="s">
        <v>372</v>
      </c>
      <c r="L21" s="290" t="s">
        <v>397</v>
      </c>
      <c r="M21" s="289" t="s">
        <v>372</v>
      </c>
      <c r="N21" s="290" t="s">
        <v>397</v>
      </c>
      <c r="O21" s="289" t="s">
        <v>372</v>
      </c>
      <c r="P21" s="290" t="s">
        <v>397</v>
      </c>
      <c r="Q21" s="289" t="s">
        <v>372</v>
      </c>
      <c r="R21" s="290" t="s">
        <v>397</v>
      </c>
      <c r="S21" s="289" t="s">
        <v>372</v>
      </c>
      <c r="T21" s="290" t="s">
        <v>397</v>
      </c>
      <c r="U21" s="289" t="s">
        <v>372</v>
      </c>
      <c r="V21" s="290" t="s">
        <v>397</v>
      </c>
      <c r="W21" s="289" t="s">
        <v>372</v>
      </c>
      <c r="X21" s="290" t="s">
        <v>397</v>
      </c>
      <c r="Y21" s="289" t="s">
        <v>372</v>
      </c>
      <c r="Z21" s="291" t="s">
        <v>397</v>
      </c>
    </row>
    <row r="22" spans="1:27" x14ac:dyDescent="0.2">
      <c r="A22" s="699"/>
      <c r="B22" s="272" t="s">
        <v>373</v>
      </c>
      <c r="C22" s="230">
        <v>40978</v>
      </c>
      <c r="D22" s="231">
        <v>256.10000000000002</v>
      </c>
      <c r="E22" s="230">
        <v>185442</v>
      </c>
      <c r="F22" s="273">
        <v>206</v>
      </c>
      <c r="G22" s="285">
        <v>91140</v>
      </c>
      <c r="H22" s="231">
        <v>303.8</v>
      </c>
      <c r="I22" s="230">
        <v>476405</v>
      </c>
      <c r="J22" s="273">
        <v>132.30000000000001</v>
      </c>
      <c r="K22" s="285">
        <v>439303</v>
      </c>
      <c r="L22" s="231">
        <v>183</v>
      </c>
      <c r="M22" s="230">
        <v>536776</v>
      </c>
      <c r="N22" s="231">
        <v>149.1</v>
      </c>
      <c r="O22" s="230">
        <v>767849</v>
      </c>
      <c r="P22" s="231">
        <v>213.3</v>
      </c>
      <c r="Q22" s="230">
        <v>404869</v>
      </c>
      <c r="R22" s="231">
        <v>168.7</v>
      </c>
      <c r="S22" s="230">
        <v>545189</v>
      </c>
      <c r="T22" s="231">
        <v>227.2</v>
      </c>
      <c r="U22" s="230">
        <v>911318</v>
      </c>
      <c r="V22" s="231">
        <v>284.8</v>
      </c>
      <c r="W22" s="230">
        <v>630013</v>
      </c>
      <c r="X22" s="231">
        <v>175</v>
      </c>
      <c r="Y22" s="230">
        <v>575026</v>
      </c>
      <c r="Z22" s="273">
        <v>239.6</v>
      </c>
    </row>
    <row r="23" spans="1:27" x14ac:dyDescent="0.2">
      <c r="A23" s="699"/>
      <c r="B23" s="272" t="s">
        <v>374</v>
      </c>
      <c r="C23" s="230">
        <v>0</v>
      </c>
      <c r="D23" s="231">
        <v>0</v>
      </c>
      <c r="E23" s="230">
        <v>0</v>
      </c>
      <c r="F23" s="273">
        <v>0</v>
      </c>
      <c r="G23" s="285">
        <v>20650</v>
      </c>
      <c r="H23" s="231">
        <v>68.8</v>
      </c>
      <c r="I23" s="230">
        <v>216207</v>
      </c>
      <c r="J23" s="273">
        <v>60.1</v>
      </c>
      <c r="K23" s="285">
        <v>193763</v>
      </c>
      <c r="L23" s="231">
        <v>80.7</v>
      </c>
      <c r="M23" s="230">
        <v>282337</v>
      </c>
      <c r="N23" s="231">
        <v>78.400000000000006</v>
      </c>
      <c r="O23" s="230">
        <v>651524</v>
      </c>
      <c r="P23" s="231">
        <v>181</v>
      </c>
      <c r="Q23" s="230">
        <v>430511</v>
      </c>
      <c r="R23" s="231">
        <v>179.4</v>
      </c>
      <c r="S23" s="230">
        <v>253919</v>
      </c>
      <c r="T23" s="231">
        <v>105.8</v>
      </c>
      <c r="U23" s="230">
        <v>275644</v>
      </c>
      <c r="V23" s="231">
        <v>86.1</v>
      </c>
      <c r="W23" s="230">
        <v>492582</v>
      </c>
      <c r="X23" s="231">
        <v>136.80000000000001</v>
      </c>
      <c r="Y23" s="230">
        <v>159623</v>
      </c>
      <c r="Z23" s="273">
        <v>66.5</v>
      </c>
    </row>
    <row r="24" spans="1:27" x14ac:dyDescent="0.2">
      <c r="A24" s="699"/>
      <c r="B24" s="272" t="s">
        <v>375</v>
      </c>
      <c r="C24" s="230">
        <v>4765</v>
      </c>
      <c r="D24" s="231">
        <v>29.8</v>
      </c>
      <c r="E24" s="230">
        <v>26792</v>
      </c>
      <c r="F24" s="273">
        <v>29.8</v>
      </c>
      <c r="G24" s="285">
        <v>3007</v>
      </c>
      <c r="H24" s="231">
        <v>10</v>
      </c>
      <c r="I24" s="230">
        <v>18040</v>
      </c>
      <c r="J24" s="273">
        <v>5</v>
      </c>
      <c r="K24" s="285">
        <v>23530</v>
      </c>
      <c r="L24" s="231">
        <v>9.8000000000000007</v>
      </c>
      <c r="M24" s="230">
        <v>18040</v>
      </c>
      <c r="N24" s="231">
        <v>5</v>
      </c>
      <c r="O24" s="230">
        <v>107170</v>
      </c>
      <c r="P24" s="231">
        <v>29.8</v>
      </c>
      <c r="Q24" s="230">
        <v>71482</v>
      </c>
      <c r="R24" s="231">
        <v>29.8</v>
      </c>
      <c r="S24" s="230">
        <v>71482</v>
      </c>
      <c r="T24" s="231">
        <v>29.8</v>
      </c>
      <c r="U24" s="230">
        <v>156864</v>
      </c>
      <c r="V24" s="231">
        <v>49</v>
      </c>
      <c r="W24" s="230">
        <v>36408</v>
      </c>
      <c r="X24" s="231">
        <v>10.1</v>
      </c>
      <c r="Y24" s="230">
        <v>24054</v>
      </c>
      <c r="Z24" s="273">
        <v>10</v>
      </c>
    </row>
    <row r="25" spans="1:27" x14ac:dyDescent="0.2">
      <c r="A25" s="699"/>
      <c r="B25" s="272" t="s">
        <v>376</v>
      </c>
      <c r="C25" s="230">
        <v>0</v>
      </c>
      <c r="D25" s="231">
        <v>0</v>
      </c>
      <c r="E25" s="230">
        <v>0</v>
      </c>
      <c r="F25" s="273">
        <v>0</v>
      </c>
      <c r="G25" s="285">
        <v>13572</v>
      </c>
      <c r="H25" s="231">
        <v>45.2</v>
      </c>
      <c r="I25" s="230">
        <v>156600</v>
      </c>
      <c r="J25" s="273">
        <v>43.5</v>
      </c>
      <c r="K25" s="285">
        <v>119244</v>
      </c>
      <c r="L25" s="231">
        <v>49.7</v>
      </c>
      <c r="M25" s="230">
        <v>203537</v>
      </c>
      <c r="N25" s="231">
        <v>56.5</v>
      </c>
      <c r="O25" s="230">
        <v>454117</v>
      </c>
      <c r="P25" s="231">
        <v>126.1</v>
      </c>
      <c r="Q25" s="230">
        <v>265534</v>
      </c>
      <c r="R25" s="231">
        <v>110.6</v>
      </c>
      <c r="S25" s="230">
        <v>184952</v>
      </c>
      <c r="T25" s="231">
        <v>77.099999999999994</v>
      </c>
      <c r="U25" s="230">
        <v>137588</v>
      </c>
      <c r="V25" s="231">
        <v>43</v>
      </c>
      <c r="W25" s="230">
        <v>374400</v>
      </c>
      <c r="X25" s="231">
        <v>104</v>
      </c>
      <c r="Y25" s="230">
        <v>116928</v>
      </c>
      <c r="Z25" s="273">
        <v>48.7</v>
      </c>
    </row>
    <row r="26" spans="1:27" x14ac:dyDescent="0.2">
      <c r="A26" s="699"/>
      <c r="B26" s="272" t="s">
        <v>377</v>
      </c>
      <c r="C26" s="230">
        <v>163</v>
      </c>
      <c r="D26" s="231">
        <v>1</v>
      </c>
      <c r="E26" s="230">
        <v>769</v>
      </c>
      <c r="F26" s="273">
        <v>0.9</v>
      </c>
      <c r="G26" s="285">
        <v>543</v>
      </c>
      <c r="H26" s="231">
        <v>1.8</v>
      </c>
      <c r="I26" s="230">
        <v>8105</v>
      </c>
      <c r="J26" s="273">
        <v>2.2999999999999998</v>
      </c>
      <c r="K26" s="285">
        <v>4216</v>
      </c>
      <c r="L26" s="231">
        <v>1.8</v>
      </c>
      <c r="M26" s="230">
        <v>9638</v>
      </c>
      <c r="N26" s="231">
        <v>2.7</v>
      </c>
      <c r="O26" s="230">
        <v>11792</v>
      </c>
      <c r="P26" s="231">
        <v>3.3</v>
      </c>
      <c r="Q26" s="230">
        <v>3358</v>
      </c>
      <c r="R26" s="231">
        <v>1.4</v>
      </c>
      <c r="S26" s="230">
        <v>6677</v>
      </c>
      <c r="T26" s="231">
        <v>2.8</v>
      </c>
      <c r="U26" s="230">
        <v>5790</v>
      </c>
      <c r="V26" s="231">
        <v>1.8</v>
      </c>
      <c r="W26" s="230">
        <v>13346</v>
      </c>
      <c r="X26" s="231">
        <v>3.7</v>
      </c>
      <c r="Y26" s="230">
        <v>6626</v>
      </c>
      <c r="Z26" s="273">
        <v>2.8</v>
      </c>
    </row>
    <row r="27" spans="1:27" x14ac:dyDescent="0.2">
      <c r="A27" s="699"/>
      <c r="B27" s="272" t="s">
        <v>378</v>
      </c>
      <c r="C27" s="230">
        <v>2164</v>
      </c>
      <c r="D27" s="231">
        <v>13.5</v>
      </c>
      <c r="E27" s="230">
        <v>12175</v>
      </c>
      <c r="F27" s="273">
        <v>13.5</v>
      </c>
      <c r="G27" s="285">
        <v>15269</v>
      </c>
      <c r="H27" s="231">
        <v>50.9</v>
      </c>
      <c r="I27" s="230">
        <v>211453</v>
      </c>
      <c r="J27" s="273">
        <v>58.7</v>
      </c>
      <c r="K27" s="285">
        <v>125759</v>
      </c>
      <c r="L27" s="231">
        <v>52.4</v>
      </c>
      <c r="M27" s="230">
        <v>211453</v>
      </c>
      <c r="N27" s="231">
        <v>58.7</v>
      </c>
      <c r="O27" s="230">
        <v>374581</v>
      </c>
      <c r="P27" s="231">
        <v>104.1</v>
      </c>
      <c r="Q27" s="230">
        <v>249557</v>
      </c>
      <c r="R27" s="231">
        <v>104</v>
      </c>
      <c r="S27" s="230">
        <v>249557</v>
      </c>
      <c r="T27" s="231">
        <v>104</v>
      </c>
      <c r="U27" s="230">
        <v>154800</v>
      </c>
      <c r="V27" s="231">
        <v>48.4</v>
      </c>
      <c r="W27" s="230">
        <v>473873</v>
      </c>
      <c r="X27" s="231">
        <v>131.6</v>
      </c>
      <c r="Y27" s="230">
        <v>131544</v>
      </c>
      <c r="Z27" s="273">
        <v>54.8</v>
      </c>
    </row>
    <row r="28" spans="1:27" x14ac:dyDescent="0.2">
      <c r="A28" s="699"/>
      <c r="B28" s="272" t="s">
        <v>379</v>
      </c>
      <c r="C28" s="230">
        <v>3329</v>
      </c>
      <c r="D28" s="231">
        <v>20.8</v>
      </c>
      <c r="E28" s="230">
        <v>18727</v>
      </c>
      <c r="F28" s="273">
        <v>20.8</v>
      </c>
      <c r="G28" s="285">
        <v>2036</v>
      </c>
      <c r="H28" s="231">
        <v>6.8</v>
      </c>
      <c r="I28" s="230">
        <v>155070</v>
      </c>
      <c r="J28" s="273">
        <v>43.1</v>
      </c>
      <c r="K28" s="285">
        <v>40248</v>
      </c>
      <c r="L28" s="231">
        <v>16.8</v>
      </c>
      <c r="M28" s="230">
        <v>155070</v>
      </c>
      <c r="N28" s="231">
        <v>43.1</v>
      </c>
      <c r="O28" s="230">
        <v>199728</v>
      </c>
      <c r="P28" s="231">
        <v>55.5</v>
      </c>
      <c r="Q28" s="230">
        <v>66576</v>
      </c>
      <c r="R28" s="231">
        <v>27.7</v>
      </c>
      <c r="S28" s="230">
        <v>16644</v>
      </c>
      <c r="T28" s="231">
        <v>6.9</v>
      </c>
      <c r="U28" s="230">
        <v>10320</v>
      </c>
      <c r="V28" s="231">
        <v>3.2</v>
      </c>
      <c r="W28" s="230">
        <v>16848</v>
      </c>
      <c r="X28" s="231">
        <v>4.7</v>
      </c>
      <c r="Y28" s="230">
        <v>8770</v>
      </c>
      <c r="Z28" s="273">
        <v>3.7</v>
      </c>
    </row>
    <row r="29" spans="1:27" x14ac:dyDescent="0.2">
      <c r="A29" s="699"/>
      <c r="B29" s="272" t="s">
        <v>380</v>
      </c>
      <c r="C29" s="230">
        <v>0</v>
      </c>
      <c r="D29" s="231">
        <v>0</v>
      </c>
      <c r="E29" s="235">
        <v>0</v>
      </c>
      <c r="F29" s="273">
        <v>0</v>
      </c>
      <c r="G29" s="285">
        <v>0</v>
      </c>
      <c r="H29" s="231">
        <v>0</v>
      </c>
      <c r="I29" s="230">
        <v>0</v>
      </c>
      <c r="J29" s="273">
        <v>0</v>
      </c>
      <c r="K29" s="285">
        <v>0</v>
      </c>
      <c r="L29" s="231">
        <v>0</v>
      </c>
      <c r="M29" s="230">
        <v>0</v>
      </c>
      <c r="N29" s="231">
        <v>0</v>
      </c>
      <c r="O29" s="230">
        <v>0</v>
      </c>
      <c r="P29" s="231">
        <v>0</v>
      </c>
      <c r="Q29" s="230">
        <v>0</v>
      </c>
      <c r="R29" s="231">
        <v>0</v>
      </c>
      <c r="S29" s="230">
        <v>0</v>
      </c>
      <c r="T29" s="231">
        <v>0</v>
      </c>
      <c r="U29" s="230">
        <v>0</v>
      </c>
      <c r="V29" s="231">
        <v>0</v>
      </c>
      <c r="W29" s="230">
        <v>0</v>
      </c>
      <c r="X29" s="231">
        <v>0</v>
      </c>
      <c r="Y29" s="230">
        <v>0</v>
      </c>
      <c r="Z29" s="273">
        <v>0</v>
      </c>
    </row>
    <row r="30" spans="1:27" x14ac:dyDescent="0.2">
      <c r="A30" s="699"/>
      <c r="B30" s="272" t="s">
        <v>381</v>
      </c>
      <c r="C30" s="230">
        <v>0</v>
      </c>
      <c r="D30" s="231">
        <v>0</v>
      </c>
      <c r="E30" s="235">
        <v>0</v>
      </c>
      <c r="F30" s="273">
        <v>0</v>
      </c>
      <c r="G30" s="285">
        <v>0</v>
      </c>
      <c r="H30" s="231">
        <v>0</v>
      </c>
      <c r="I30" s="230">
        <v>27840</v>
      </c>
      <c r="J30" s="273">
        <v>7.7</v>
      </c>
      <c r="K30" s="285">
        <v>0</v>
      </c>
      <c r="L30" s="231">
        <v>0</v>
      </c>
      <c r="M30" s="230">
        <v>35848</v>
      </c>
      <c r="N30" s="231">
        <v>10</v>
      </c>
      <c r="O30" s="230">
        <v>68351</v>
      </c>
      <c r="P30" s="231">
        <v>19</v>
      </c>
      <c r="Q30" s="230">
        <v>0</v>
      </c>
      <c r="R30" s="231">
        <v>0</v>
      </c>
      <c r="S30" s="230">
        <v>29653</v>
      </c>
      <c r="T30" s="231">
        <v>12.4</v>
      </c>
      <c r="U30" s="230">
        <v>0</v>
      </c>
      <c r="V30" s="231">
        <v>0</v>
      </c>
      <c r="W30" s="230">
        <v>70164</v>
      </c>
      <c r="X30" s="231">
        <v>19.5</v>
      </c>
      <c r="Y30" s="230">
        <v>22221</v>
      </c>
      <c r="Z30" s="273">
        <v>9.3000000000000007</v>
      </c>
    </row>
    <row r="31" spans="1:27" s="20" customFormat="1" x14ac:dyDescent="0.2">
      <c r="A31" s="699"/>
      <c r="B31" s="274" t="s">
        <v>382</v>
      </c>
      <c r="C31" s="275">
        <v>51398</v>
      </c>
      <c r="D31" s="276">
        <v>321.2</v>
      </c>
      <c r="E31" s="277">
        <v>243907</v>
      </c>
      <c r="F31" s="287">
        <v>271</v>
      </c>
      <c r="G31" s="286">
        <v>146216</v>
      </c>
      <c r="H31" s="276">
        <v>487.4</v>
      </c>
      <c r="I31" s="275">
        <v>1269720</v>
      </c>
      <c r="J31" s="279">
        <v>352.7</v>
      </c>
      <c r="K31" s="286">
        <v>946061</v>
      </c>
      <c r="L31" s="276">
        <v>394.2</v>
      </c>
      <c r="M31" s="275">
        <v>1452699</v>
      </c>
      <c r="N31" s="276">
        <v>403.5</v>
      </c>
      <c r="O31" s="275">
        <v>2635112</v>
      </c>
      <c r="P31" s="276">
        <v>732</v>
      </c>
      <c r="Q31" s="275">
        <v>1491887</v>
      </c>
      <c r="R31" s="276">
        <v>621.6</v>
      </c>
      <c r="S31" s="275">
        <v>1358072</v>
      </c>
      <c r="T31" s="276">
        <v>565.9</v>
      </c>
      <c r="U31" s="275">
        <v>1652324</v>
      </c>
      <c r="V31" s="276">
        <v>516.4</v>
      </c>
      <c r="W31" s="275">
        <v>2107634</v>
      </c>
      <c r="X31" s="276">
        <v>585.5</v>
      </c>
      <c r="Y31" s="275">
        <v>1044791</v>
      </c>
      <c r="Z31" s="279">
        <v>435.3</v>
      </c>
    </row>
    <row r="32" spans="1:27" s="216" customFormat="1" x14ac:dyDescent="0.2">
      <c r="A32" s="699"/>
      <c r="B32" s="283" t="s">
        <v>491</v>
      </c>
      <c r="C32" s="289" t="s">
        <v>372</v>
      </c>
      <c r="D32" s="291" t="s">
        <v>397</v>
      </c>
      <c r="E32" s="289" t="s">
        <v>372</v>
      </c>
      <c r="F32" s="291" t="s">
        <v>397</v>
      </c>
      <c r="G32" s="289" t="s">
        <v>372</v>
      </c>
      <c r="H32" s="291" t="s">
        <v>397</v>
      </c>
      <c r="I32" s="289" t="s">
        <v>372</v>
      </c>
      <c r="J32" s="291" t="s">
        <v>397</v>
      </c>
      <c r="K32" s="289" t="s">
        <v>372</v>
      </c>
      <c r="L32" s="291" t="s">
        <v>397</v>
      </c>
      <c r="M32" s="289" t="s">
        <v>372</v>
      </c>
      <c r="N32" s="291" t="s">
        <v>397</v>
      </c>
      <c r="O32" s="289" t="s">
        <v>372</v>
      </c>
      <c r="P32" s="291" t="s">
        <v>397</v>
      </c>
      <c r="Q32" s="289" t="s">
        <v>372</v>
      </c>
      <c r="R32" s="291" t="s">
        <v>397</v>
      </c>
      <c r="S32" s="289" t="s">
        <v>372</v>
      </c>
      <c r="T32" s="291" t="s">
        <v>397</v>
      </c>
      <c r="U32" s="289" t="s">
        <v>372</v>
      </c>
      <c r="V32" s="291" t="s">
        <v>397</v>
      </c>
      <c r="W32" s="289" t="s">
        <v>372</v>
      </c>
      <c r="X32" s="291" t="s">
        <v>397</v>
      </c>
      <c r="Y32" s="289" t="s">
        <v>372</v>
      </c>
      <c r="Z32" s="291" t="s">
        <v>397</v>
      </c>
    </row>
    <row r="33" spans="1:26" x14ac:dyDescent="0.2">
      <c r="A33" s="699"/>
      <c r="B33" s="272" t="s">
        <v>373</v>
      </c>
      <c r="C33" s="230">
        <f t="shared" ref="C33:Z33" si="0">C$6-C22</f>
        <v>24369</v>
      </c>
      <c r="D33" s="293">
        <f t="shared" si="0"/>
        <v>152.29999999999995</v>
      </c>
      <c r="E33" s="230">
        <f t="shared" si="0"/>
        <v>106896</v>
      </c>
      <c r="F33" s="293">
        <f t="shared" si="0"/>
        <v>118.80000000000001</v>
      </c>
      <c r="G33" s="230">
        <f t="shared" si="0"/>
        <v>25481</v>
      </c>
      <c r="H33" s="293">
        <f t="shared" si="0"/>
        <v>84.899999999999977</v>
      </c>
      <c r="I33" s="230">
        <f t="shared" si="0"/>
        <v>219303</v>
      </c>
      <c r="J33" s="293">
        <f t="shared" si="0"/>
        <v>61</v>
      </c>
      <c r="K33" s="230">
        <f t="shared" si="0"/>
        <v>141915</v>
      </c>
      <c r="L33" s="293">
        <f t="shared" si="0"/>
        <v>59.199999999999989</v>
      </c>
      <c r="M33" s="230">
        <f t="shared" si="0"/>
        <v>224092</v>
      </c>
      <c r="N33" s="293">
        <f t="shared" si="0"/>
        <v>62.300000000000011</v>
      </c>
      <c r="O33" s="230">
        <f t="shared" si="0"/>
        <v>235913</v>
      </c>
      <c r="P33" s="293">
        <f t="shared" si="0"/>
        <v>65.5</v>
      </c>
      <c r="Q33" s="230">
        <f t="shared" si="0"/>
        <v>100487</v>
      </c>
      <c r="R33" s="293">
        <f t="shared" si="0"/>
        <v>41.900000000000006</v>
      </c>
      <c r="S33" s="230">
        <f t="shared" si="0"/>
        <v>151085</v>
      </c>
      <c r="T33" s="293">
        <f t="shared" si="0"/>
        <v>62.900000000000034</v>
      </c>
      <c r="U33" s="230">
        <f t="shared" si="0"/>
        <v>333084</v>
      </c>
      <c r="V33" s="293">
        <f t="shared" si="0"/>
        <v>104.09999999999997</v>
      </c>
      <c r="W33" s="230">
        <f t="shared" si="0"/>
        <v>231857</v>
      </c>
      <c r="X33" s="293">
        <f t="shared" si="0"/>
        <v>64.400000000000006</v>
      </c>
      <c r="Y33" s="230">
        <f t="shared" si="0"/>
        <v>156285</v>
      </c>
      <c r="Z33" s="293">
        <f t="shared" si="0"/>
        <v>65.099999999999994</v>
      </c>
    </row>
    <row r="34" spans="1:26" x14ac:dyDescent="0.2">
      <c r="A34" s="699"/>
      <c r="B34" s="272" t="s">
        <v>374</v>
      </c>
      <c r="C34" s="230">
        <f t="shared" ref="C34:Z34" si="1">C$7-C23</f>
        <v>0</v>
      </c>
      <c r="D34" s="293">
        <f t="shared" si="1"/>
        <v>0</v>
      </c>
      <c r="E34" s="230">
        <f t="shared" si="1"/>
        <v>0</v>
      </c>
      <c r="F34" s="293">
        <f t="shared" si="1"/>
        <v>0</v>
      </c>
      <c r="G34" s="230">
        <f t="shared" si="1"/>
        <v>43</v>
      </c>
      <c r="H34" s="293">
        <f t="shared" si="1"/>
        <v>0.20000000000000284</v>
      </c>
      <c r="I34" s="230">
        <f t="shared" si="1"/>
        <v>1411</v>
      </c>
      <c r="J34" s="293">
        <f t="shared" si="1"/>
        <v>0.29999999999999716</v>
      </c>
      <c r="K34" s="230">
        <f t="shared" si="1"/>
        <v>1021</v>
      </c>
      <c r="L34" s="293">
        <f t="shared" si="1"/>
        <v>0.5</v>
      </c>
      <c r="M34" s="230">
        <f t="shared" si="1"/>
        <v>1102</v>
      </c>
      <c r="N34" s="293">
        <f t="shared" si="1"/>
        <v>0.29999999999999716</v>
      </c>
      <c r="O34" s="230">
        <f t="shared" si="1"/>
        <v>506</v>
      </c>
      <c r="P34" s="293">
        <f t="shared" si="1"/>
        <v>9.9999999999994316E-2</v>
      </c>
      <c r="Q34" s="230">
        <f t="shared" si="1"/>
        <v>922</v>
      </c>
      <c r="R34" s="293">
        <f t="shared" si="1"/>
        <v>0.40000000000000568</v>
      </c>
      <c r="S34" s="230">
        <f t="shared" si="1"/>
        <v>68</v>
      </c>
      <c r="T34" s="293">
        <f t="shared" si="1"/>
        <v>0</v>
      </c>
      <c r="U34" s="230">
        <f t="shared" si="1"/>
        <v>980</v>
      </c>
      <c r="V34" s="293">
        <f t="shared" si="1"/>
        <v>0.30000000000001137</v>
      </c>
      <c r="W34" s="230">
        <f t="shared" si="1"/>
        <v>1170</v>
      </c>
      <c r="X34" s="293">
        <f t="shared" si="1"/>
        <v>0.39999999999997726</v>
      </c>
      <c r="Y34" s="230">
        <f t="shared" si="1"/>
        <v>8</v>
      </c>
      <c r="Z34" s="293">
        <f t="shared" si="1"/>
        <v>0</v>
      </c>
    </row>
    <row r="35" spans="1:26" x14ac:dyDescent="0.2">
      <c r="A35" s="699"/>
      <c r="B35" s="272" t="s">
        <v>375</v>
      </c>
      <c r="C35" s="230">
        <f>C$8-C24</f>
        <v>0</v>
      </c>
      <c r="D35" s="293">
        <f t="shared" ref="D35:Z35" si="2">D$8-D24</f>
        <v>0</v>
      </c>
      <c r="E35" s="230">
        <f t="shared" si="2"/>
        <v>0</v>
      </c>
      <c r="F35" s="293">
        <f t="shared" si="2"/>
        <v>0</v>
      </c>
      <c r="G35" s="230">
        <f t="shared" si="2"/>
        <v>0</v>
      </c>
      <c r="H35" s="293">
        <f t="shared" si="2"/>
        <v>0</v>
      </c>
      <c r="I35" s="230">
        <f t="shared" si="2"/>
        <v>0</v>
      </c>
      <c r="J35" s="293">
        <f t="shared" si="2"/>
        <v>0</v>
      </c>
      <c r="K35" s="230">
        <f t="shared" si="2"/>
        <v>0</v>
      </c>
      <c r="L35" s="293">
        <f t="shared" si="2"/>
        <v>0</v>
      </c>
      <c r="M35" s="230">
        <f t="shared" si="2"/>
        <v>0</v>
      </c>
      <c r="N35" s="293">
        <f t="shared" si="2"/>
        <v>0</v>
      </c>
      <c r="O35" s="230">
        <f t="shared" si="2"/>
        <v>0</v>
      </c>
      <c r="P35" s="293">
        <f t="shared" si="2"/>
        <v>0</v>
      </c>
      <c r="Q35" s="230">
        <f t="shared" si="2"/>
        <v>0</v>
      </c>
      <c r="R35" s="293">
        <f t="shared" si="2"/>
        <v>0</v>
      </c>
      <c r="S35" s="230">
        <f t="shared" si="2"/>
        <v>0</v>
      </c>
      <c r="T35" s="293">
        <f t="shared" si="2"/>
        <v>0</v>
      </c>
      <c r="U35" s="230">
        <f t="shared" si="2"/>
        <v>0</v>
      </c>
      <c r="V35" s="293">
        <f t="shared" si="2"/>
        <v>0</v>
      </c>
      <c r="W35" s="230">
        <f t="shared" si="2"/>
        <v>0</v>
      </c>
      <c r="X35" s="293">
        <f t="shared" si="2"/>
        <v>0</v>
      </c>
      <c r="Y35" s="230">
        <f t="shared" si="2"/>
        <v>0</v>
      </c>
      <c r="Z35" s="293">
        <f t="shared" si="2"/>
        <v>0</v>
      </c>
    </row>
    <row r="36" spans="1:26" x14ac:dyDescent="0.2">
      <c r="A36" s="699"/>
      <c r="B36" s="272" t="s">
        <v>376</v>
      </c>
      <c r="C36" s="230">
        <f t="shared" ref="C36:Z36" si="3">C$9-C25</f>
        <v>0</v>
      </c>
      <c r="D36" s="293">
        <f t="shared" si="3"/>
        <v>0</v>
      </c>
      <c r="E36" s="230">
        <f t="shared" si="3"/>
        <v>0</v>
      </c>
      <c r="F36" s="293">
        <f t="shared" si="3"/>
        <v>0</v>
      </c>
      <c r="G36" s="230">
        <f t="shared" si="3"/>
        <v>0</v>
      </c>
      <c r="H36" s="293">
        <f t="shared" si="3"/>
        <v>0</v>
      </c>
      <c r="I36" s="230">
        <f t="shared" si="3"/>
        <v>0</v>
      </c>
      <c r="J36" s="293">
        <f t="shared" si="3"/>
        <v>0</v>
      </c>
      <c r="K36" s="230">
        <f t="shared" si="3"/>
        <v>0</v>
      </c>
      <c r="L36" s="293">
        <f t="shared" si="3"/>
        <v>0</v>
      </c>
      <c r="M36" s="230">
        <f t="shared" si="3"/>
        <v>0</v>
      </c>
      <c r="N36" s="293">
        <f t="shared" si="3"/>
        <v>0</v>
      </c>
      <c r="O36" s="230">
        <f t="shared" si="3"/>
        <v>0</v>
      </c>
      <c r="P36" s="293">
        <f t="shared" si="3"/>
        <v>0</v>
      </c>
      <c r="Q36" s="230">
        <f t="shared" si="3"/>
        <v>0</v>
      </c>
      <c r="R36" s="293">
        <f t="shared" si="3"/>
        <v>0</v>
      </c>
      <c r="S36" s="230">
        <f t="shared" si="3"/>
        <v>0</v>
      </c>
      <c r="T36" s="293">
        <f t="shared" si="3"/>
        <v>0</v>
      </c>
      <c r="U36" s="230">
        <f t="shared" si="3"/>
        <v>0</v>
      </c>
      <c r="V36" s="293">
        <f t="shared" si="3"/>
        <v>0</v>
      </c>
      <c r="W36" s="230">
        <f t="shared" si="3"/>
        <v>0</v>
      </c>
      <c r="X36" s="293">
        <f t="shared" si="3"/>
        <v>0</v>
      </c>
      <c r="Y36" s="230">
        <f t="shared" si="3"/>
        <v>0</v>
      </c>
      <c r="Z36" s="293">
        <f t="shared" si="3"/>
        <v>0</v>
      </c>
    </row>
    <row r="37" spans="1:26" x14ac:dyDescent="0.2">
      <c r="A37" s="699"/>
      <c r="B37" s="272" t="s">
        <v>377</v>
      </c>
      <c r="C37" s="230">
        <f t="shared" ref="C37:Z37" si="4">C$10-C26</f>
        <v>69</v>
      </c>
      <c r="D37" s="293">
        <f t="shared" si="4"/>
        <v>0.39999999999999991</v>
      </c>
      <c r="E37" s="230">
        <f t="shared" si="4"/>
        <v>333</v>
      </c>
      <c r="F37" s="293">
        <f t="shared" si="4"/>
        <v>0.29999999999999993</v>
      </c>
      <c r="G37" s="230">
        <f t="shared" si="4"/>
        <v>42</v>
      </c>
      <c r="H37" s="293">
        <f t="shared" si="4"/>
        <v>0.19999999999999996</v>
      </c>
      <c r="I37" s="230">
        <f t="shared" si="4"/>
        <v>677</v>
      </c>
      <c r="J37" s="293">
        <f t="shared" si="4"/>
        <v>0.10000000000000009</v>
      </c>
      <c r="K37" s="230">
        <f t="shared" si="4"/>
        <v>419</v>
      </c>
      <c r="L37" s="293">
        <f t="shared" si="4"/>
        <v>9.9999999999999867E-2</v>
      </c>
      <c r="M37" s="230">
        <f t="shared" si="4"/>
        <v>399</v>
      </c>
      <c r="N37" s="293">
        <f t="shared" si="4"/>
        <v>9.9999999999999645E-2</v>
      </c>
      <c r="O37" s="230">
        <f t="shared" si="4"/>
        <v>444</v>
      </c>
      <c r="P37" s="293">
        <f t="shared" si="4"/>
        <v>0.10000000000000009</v>
      </c>
      <c r="Q37" s="230">
        <f t="shared" si="4"/>
        <v>321</v>
      </c>
      <c r="R37" s="293">
        <f t="shared" si="4"/>
        <v>0.10000000000000009</v>
      </c>
      <c r="S37" s="230">
        <f t="shared" si="4"/>
        <v>447</v>
      </c>
      <c r="T37" s="293">
        <f t="shared" si="4"/>
        <v>0.20000000000000018</v>
      </c>
      <c r="U37" s="230">
        <f t="shared" si="4"/>
        <v>452</v>
      </c>
      <c r="V37" s="293">
        <f t="shared" si="4"/>
        <v>0.19999999999999996</v>
      </c>
      <c r="W37" s="230">
        <f t="shared" si="4"/>
        <v>689</v>
      </c>
      <c r="X37" s="293">
        <f t="shared" si="4"/>
        <v>0.19999999999999973</v>
      </c>
      <c r="Y37" s="230">
        <f t="shared" si="4"/>
        <v>354</v>
      </c>
      <c r="Z37" s="293">
        <f t="shared" si="4"/>
        <v>0.10000000000000009</v>
      </c>
    </row>
    <row r="38" spans="1:26" x14ac:dyDescent="0.2">
      <c r="A38" s="699"/>
      <c r="B38" s="272" t="s">
        <v>378</v>
      </c>
      <c r="C38" s="230">
        <f t="shared" ref="C38:Z38" si="5">C$11-C27</f>
        <v>0</v>
      </c>
      <c r="D38" s="293">
        <f t="shared" si="5"/>
        <v>0</v>
      </c>
      <c r="E38" s="230">
        <f t="shared" si="5"/>
        <v>0</v>
      </c>
      <c r="F38" s="293">
        <f t="shared" si="5"/>
        <v>0</v>
      </c>
      <c r="G38" s="230">
        <f t="shared" si="5"/>
        <v>0</v>
      </c>
      <c r="H38" s="293">
        <f t="shared" si="5"/>
        <v>0</v>
      </c>
      <c r="I38" s="230">
        <f t="shared" si="5"/>
        <v>0</v>
      </c>
      <c r="J38" s="293">
        <f t="shared" si="5"/>
        <v>0</v>
      </c>
      <c r="K38" s="230">
        <f t="shared" si="5"/>
        <v>0</v>
      </c>
      <c r="L38" s="293">
        <f t="shared" si="5"/>
        <v>0</v>
      </c>
      <c r="M38" s="230">
        <f t="shared" si="5"/>
        <v>0</v>
      </c>
      <c r="N38" s="293">
        <f t="shared" si="5"/>
        <v>0</v>
      </c>
      <c r="O38" s="230">
        <f t="shared" si="5"/>
        <v>0</v>
      </c>
      <c r="P38" s="293">
        <f t="shared" si="5"/>
        <v>0</v>
      </c>
      <c r="Q38" s="230">
        <f t="shared" si="5"/>
        <v>0</v>
      </c>
      <c r="R38" s="293">
        <f t="shared" si="5"/>
        <v>0</v>
      </c>
      <c r="S38" s="230">
        <f t="shared" si="5"/>
        <v>0</v>
      </c>
      <c r="T38" s="293">
        <f t="shared" si="5"/>
        <v>0</v>
      </c>
      <c r="U38" s="230">
        <f t="shared" si="5"/>
        <v>0</v>
      </c>
      <c r="V38" s="293">
        <f t="shared" si="5"/>
        <v>0</v>
      </c>
      <c r="W38" s="230">
        <f t="shared" si="5"/>
        <v>0</v>
      </c>
      <c r="X38" s="293">
        <f t="shared" si="5"/>
        <v>0</v>
      </c>
      <c r="Y38" s="230">
        <f t="shared" si="5"/>
        <v>0</v>
      </c>
      <c r="Z38" s="293">
        <f t="shared" si="5"/>
        <v>0</v>
      </c>
    </row>
    <row r="39" spans="1:26" x14ac:dyDescent="0.2">
      <c r="A39" s="699"/>
      <c r="B39" s="272" t="s">
        <v>379</v>
      </c>
      <c r="C39" s="230">
        <f t="shared" ref="C39:Z39" si="6">C$12-C28</f>
        <v>0</v>
      </c>
      <c r="D39" s="293">
        <f t="shared" si="6"/>
        <v>0</v>
      </c>
      <c r="E39" s="230">
        <f t="shared" si="6"/>
        <v>0</v>
      </c>
      <c r="F39" s="293">
        <f t="shared" si="6"/>
        <v>0</v>
      </c>
      <c r="G39" s="230">
        <f t="shared" si="6"/>
        <v>0</v>
      </c>
      <c r="H39" s="293">
        <f t="shared" si="6"/>
        <v>0</v>
      </c>
      <c r="I39" s="230">
        <f t="shared" si="6"/>
        <v>0</v>
      </c>
      <c r="J39" s="293">
        <f t="shared" si="6"/>
        <v>0</v>
      </c>
      <c r="K39" s="230">
        <f t="shared" si="6"/>
        <v>0</v>
      </c>
      <c r="L39" s="293">
        <f t="shared" si="6"/>
        <v>0</v>
      </c>
      <c r="M39" s="230">
        <f t="shared" si="6"/>
        <v>0</v>
      </c>
      <c r="N39" s="293">
        <f t="shared" si="6"/>
        <v>0</v>
      </c>
      <c r="O39" s="230">
        <f t="shared" si="6"/>
        <v>0</v>
      </c>
      <c r="P39" s="293">
        <f t="shared" si="6"/>
        <v>0</v>
      </c>
      <c r="Q39" s="230">
        <f t="shared" si="6"/>
        <v>0</v>
      </c>
      <c r="R39" s="293">
        <f t="shared" si="6"/>
        <v>0</v>
      </c>
      <c r="S39" s="230">
        <f t="shared" si="6"/>
        <v>0</v>
      </c>
      <c r="T39" s="293">
        <f t="shared" si="6"/>
        <v>0</v>
      </c>
      <c r="U39" s="230">
        <f t="shared" si="6"/>
        <v>0</v>
      </c>
      <c r="V39" s="293">
        <f t="shared" si="6"/>
        <v>0</v>
      </c>
      <c r="W39" s="230">
        <f t="shared" si="6"/>
        <v>0</v>
      </c>
      <c r="X39" s="293">
        <f t="shared" si="6"/>
        <v>0</v>
      </c>
      <c r="Y39" s="230">
        <f t="shared" si="6"/>
        <v>0</v>
      </c>
      <c r="Z39" s="293">
        <f t="shared" si="6"/>
        <v>0</v>
      </c>
    </row>
    <row r="40" spans="1:26" x14ac:dyDescent="0.2">
      <c r="A40" s="699"/>
      <c r="B40" s="272" t="s">
        <v>380</v>
      </c>
      <c r="C40" s="230">
        <f t="shared" ref="C40:Z40" si="7">C$13-C29</f>
        <v>0</v>
      </c>
      <c r="D40" s="293">
        <f t="shared" si="7"/>
        <v>0</v>
      </c>
      <c r="E40" s="230">
        <f t="shared" si="7"/>
        <v>0</v>
      </c>
      <c r="F40" s="293">
        <f t="shared" si="7"/>
        <v>0</v>
      </c>
      <c r="G40" s="230">
        <f t="shared" si="7"/>
        <v>0</v>
      </c>
      <c r="H40" s="293">
        <f t="shared" si="7"/>
        <v>0</v>
      </c>
      <c r="I40" s="230">
        <f t="shared" si="7"/>
        <v>0</v>
      </c>
      <c r="J40" s="293">
        <f t="shared" si="7"/>
        <v>0</v>
      </c>
      <c r="K40" s="230">
        <f t="shared" si="7"/>
        <v>0</v>
      </c>
      <c r="L40" s="293">
        <f t="shared" si="7"/>
        <v>0</v>
      </c>
      <c r="M40" s="230">
        <f t="shared" si="7"/>
        <v>0</v>
      </c>
      <c r="N40" s="293">
        <f t="shared" si="7"/>
        <v>0</v>
      </c>
      <c r="O40" s="230">
        <f t="shared" si="7"/>
        <v>0</v>
      </c>
      <c r="P40" s="293">
        <f t="shared" si="7"/>
        <v>0</v>
      </c>
      <c r="Q40" s="230">
        <f t="shared" si="7"/>
        <v>0</v>
      </c>
      <c r="R40" s="293">
        <f t="shared" si="7"/>
        <v>0</v>
      </c>
      <c r="S40" s="230">
        <f t="shared" si="7"/>
        <v>0</v>
      </c>
      <c r="T40" s="293">
        <f t="shared" si="7"/>
        <v>0</v>
      </c>
      <c r="U40" s="230">
        <f t="shared" si="7"/>
        <v>0</v>
      </c>
      <c r="V40" s="293">
        <f t="shared" si="7"/>
        <v>0</v>
      </c>
      <c r="W40" s="230">
        <f t="shared" si="7"/>
        <v>0</v>
      </c>
      <c r="X40" s="293">
        <f t="shared" si="7"/>
        <v>0</v>
      </c>
      <c r="Y40" s="230">
        <f t="shared" si="7"/>
        <v>0</v>
      </c>
      <c r="Z40" s="293">
        <f t="shared" si="7"/>
        <v>0</v>
      </c>
    </row>
    <row r="41" spans="1:26" x14ac:dyDescent="0.2">
      <c r="A41" s="699"/>
      <c r="B41" s="272" t="s">
        <v>381</v>
      </c>
      <c r="C41" s="230">
        <f t="shared" ref="C41:Z41" si="8">C$14-C30</f>
        <v>0</v>
      </c>
      <c r="D41" s="293">
        <f t="shared" si="8"/>
        <v>0</v>
      </c>
      <c r="E41" s="230">
        <f t="shared" si="8"/>
        <v>0</v>
      </c>
      <c r="F41" s="293">
        <f t="shared" si="8"/>
        <v>0</v>
      </c>
      <c r="G41" s="230">
        <f t="shared" si="8"/>
        <v>0</v>
      </c>
      <c r="H41" s="293">
        <f t="shared" si="8"/>
        <v>0</v>
      </c>
      <c r="I41" s="230">
        <f t="shared" si="8"/>
        <v>0</v>
      </c>
      <c r="J41" s="293">
        <f t="shared" si="8"/>
        <v>0</v>
      </c>
      <c r="K41" s="230">
        <f t="shared" si="8"/>
        <v>0</v>
      </c>
      <c r="L41" s="293">
        <f t="shared" si="8"/>
        <v>0</v>
      </c>
      <c r="M41" s="230">
        <f t="shared" si="8"/>
        <v>0</v>
      </c>
      <c r="N41" s="293">
        <f t="shared" si="8"/>
        <v>0</v>
      </c>
      <c r="O41" s="230">
        <f t="shared" si="8"/>
        <v>0</v>
      </c>
      <c r="P41" s="293">
        <f t="shared" si="8"/>
        <v>0</v>
      </c>
      <c r="Q41" s="230">
        <f t="shared" si="8"/>
        <v>0</v>
      </c>
      <c r="R41" s="293">
        <f t="shared" si="8"/>
        <v>0</v>
      </c>
      <c r="S41" s="230">
        <f t="shared" si="8"/>
        <v>0</v>
      </c>
      <c r="T41" s="293">
        <f t="shared" si="8"/>
        <v>0</v>
      </c>
      <c r="U41" s="230">
        <f t="shared" si="8"/>
        <v>0</v>
      </c>
      <c r="V41" s="293">
        <f t="shared" si="8"/>
        <v>0</v>
      </c>
      <c r="W41" s="230">
        <f t="shared" si="8"/>
        <v>0</v>
      </c>
      <c r="X41" s="293">
        <f t="shared" si="8"/>
        <v>0</v>
      </c>
      <c r="Y41" s="230">
        <f t="shared" si="8"/>
        <v>0</v>
      </c>
      <c r="Z41" s="293">
        <f t="shared" si="8"/>
        <v>0</v>
      </c>
    </row>
    <row r="42" spans="1:26" s="20" customFormat="1" x14ac:dyDescent="0.2">
      <c r="A42" s="700"/>
      <c r="B42" s="274" t="s">
        <v>382</v>
      </c>
      <c r="C42" s="275">
        <f t="shared" ref="C42:Z42" si="9">C$15-C31</f>
        <v>24439</v>
      </c>
      <c r="D42" s="294">
        <f t="shared" si="9"/>
        <v>152.80000000000001</v>
      </c>
      <c r="E42" s="275">
        <f t="shared" si="9"/>
        <v>107228</v>
      </c>
      <c r="F42" s="294">
        <f t="shared" si="9"/>
        <v>119.19999999999999</v>
      </c>
      <c r="G42" s="275">
        <f t="shared" si="9"/>
        <v>25567</v>
      </c>
      <c r="H42" s="294">
        <f t="shared" si="9"/>
        <v>85.200000000000045</v>
      </c>
      <c r="I42" s="275">
        <f t="shared" si="9"/>
        <v>221390</v>
      </c>
      <c r="J42" s="294">
        <f t="shared" si="9"/>
        <v>61.5</v>
      </c>
      <c r="K42" s="275">
        <f t="shared" si="9"/>
        <v>143355</v>
      </c>
      <c r="L42" s="294">
        <f t="shared" si="9"/>
        <v>59.699999999999989</v>
      </c>
      <c r="M42" s="275">
        <f t="shared" si="9"/>
        <v>225593</v>
      </c>
      <c r="N42" s="294">
        <f t="shared" si="9"/>
        <v>62.699999999999989</v>
      </c>
      <c r="O42" s="275">
        <f t="shared" si="9"/>
        <v>236863</v>
      </c>
      <c r="P42" s="294">
        <f t="shared" si="9"/>
        <v>65.799999999999955</v>
      </c>
      <c r="Q42" s="275">
        <f t="shared" si="9"/>
        <v>101730</v>
      </c>
      <c r="R42" s="294">
        <f t="shared" si="9"/>
        <v>42.399999999999977</v>
      </c>
      <c r="S42" s="275">
        <f t="shared" si="9"/>
        <v>151600</v>
      </c>
      <c r="T42" s="294">
        <f t="shared" si="9"/>
        <v>63.100000000000023</v>
      </c>
      <c r="U42" s="275">
        <f t="shared" si="9"/>
        <v>334516</v>
      </c>
      <c r="V42" s="294">
        <f t="shared" si="9"/>
        <v>104.5</v>
      </c>
      <c r="W42" s="275">
        <f t="shared" si="9"/>
        <v>233716</v>
      </c>
      <c r="X42" s="294">
        <f t="shared" si="9"/>
        <v>64.899999999999977</v>
      </c>
      <c r="Y42" s="275">
        <f t="shared" si="9"/>
        <v>156648</v>
      </c>
      <c r="Z42" s="294">
        <f t="shared" si="9"/>
        <v>65.300000000000011</v>
      </c>
    </row>
    <row r="43" spans="1:26" s="20" customFormat="1" x14ac:dyDescent="0.2">
      <c r="A43" s="266"/>
      <c r="B43" s="227"/>
      <c r="C43" s="267"/>
      <c r="D43" s="232"/>
      <c r="E43" s="268"/>
      <c r="F43" s="237"/>
      <c r="G43" s="267"/>
      <c r="H43" s="232"/>
      <c r="I43" s="267"/>
      <c r="J43" s="232"/>
      <c r="K43" s="267"/>
      <c r="L43" s="232"/>
      <c r="M43" s="267"/>
      <c r="N43" s="232"/>
      <c r="O43" s="267"/>
      <c r="P43" s="232"/>
      <c r="Q43" s="267"/>
      <c r="R43" s="232"/>
      <c r="S43" s="267"/>
      <c r="T43" s="232"/>
      <c r="U43" s="267"/>
      <c r="V43" s="232"/>
      <c r="W43" s="267"/>
      <c r="X43" s="232"/>
      <c r="Y43" s="267"/>
      <c r="Z43" s="232"/>
    </row>
    <row r="44" spans="1:26" s="202" customFormat="1" x14ac:dyDescent="0.2">
      <c r="A44" s="698" t="s">
        <v>509</v>
      </c>
      <c r="B44" s="269" t="s">
        <v>488</v>
      </c>
      <c r="C44" s="304" t="s">
        <v>486</v>
      </c>
      <c r="D44" s="280" t="s">
        <v>487</v>
      </c>
      <c r="E44" s="304" t="s">
        <v>486</v>
      </c>
      <c r="F44" s="280" t="s">
        <v>487</v>
      </c>
      <c r="G44" s="304" t="s">
        <v>486</v>
      </c>
      <c r="H44" s="280" t="s">
        <v>487</v>
      </c>
      <c r="I44" s="304" t="s">
        <v>486</v>
      </c>
      <c r="J44" s="280" t="s">
        <v>487</v>
      </c>
      <c r="K44" s="304" t="s">
        <v>486</v>
      </c>
      <c r="L44" s="280" t="s">
        <v>487</v>
      </c>
      <c r="M44" s="304" t="s">
        <v>486</v>
      </c>
      <c r="N44" s="280" t="s">
        <v>487</v>
      </c>
      <c r="O44" s="304" t="s">
        <v>486</v>
      </c>
      <c r="P44" s="280" t="s">
        <v>487</v>
      </c>
      <c r="Q44" s="304" t="s">
        <v>486</v>
      </c>
      <c r="R44" s="280" t="s">
        <v>487</v>
      </c>
      <c r="S44" s="304" t="s">
        <v>486</v>
      </c>
      <c r="T44" s="280" t="s">
        <v>487</v>
      </c>
      <c r="U44" s="304" t="s">
        <v>486</v>
      </c>
      <c r="V44" s="280" t="s">
        <v>487</v>
      </c>
      <c r="W44" s="304" t="s">
        <v>486</v>
      </c>
      <c r="X44" s="280" t="s">
        <v>487</v>
      </c>
      <c r="Y44" s="304" t="s">
        <v>486</v>
      </c>
      <c r="Z44" s="314" t="s">
        <v>487</v>
      </c>
    </row>
    <row r="45" spans="1:26" x14ac:dyDescent="0.2">
      <c r="A45" s="699"/>
      <c r="B45" s="144" t="s">
        <v>262</v>
      </c>
      <c r="C45" s="305">
        <f>'6 Oversikt startpunkt'!B80</f>
        <v>0.81</v>
      </c>
      <c r="D45" s="399">
        <f>'7 Passivhusnivå'!C29</f>
        <v>0.08</v>
      </c>
      <c r="E45" s="209">
        <f>'6 Oversikt startpunkt'!C80</f>
        <v>0.81</v>
      </c>
      <c r="F45" s="209">
        <f>'7 Passivhusnivå'!D29</f>
        <v>0.1</v>
      </c>
      <c r="G45" s="305">
        <f>'6 Oversikt startpunkt'!D80</f>
        <v>0.81</v>
      </c>
      <c r="H45" s="399">
        <f>'7 Passivhusnivå'!F29</f>
        <v>0.1</v>
      </c>
      <c r="I45" s="209">
        <f>'6 Oversikt startpunkt'!E80</f>
        <v>1</v>
      </c>
      <c r="J45" s="209">
        <f>'7 Passivhusnivå'!G29</f>
        <v>0.13</v>
      </c>
      <c r="K45" s="305">
        <f>'6 Oversikt startpunkt'!F80</f>
        <v>1</v>
      </c>
      <c r="L45" s="399">
        <f>'7 Passivhusnivå'!H29</f>
        <v>0.13</v>
      </c>
      <c r="M45" s="209">
        <f>'6 Oversikt startpunkt'!G80</f>
        <v>1</v>
      </c>
      <c r="N45" s="209">
        <f>'7 Passivhusnivå'!I29</f>
        <v>0.13</v>
      </c>
      <c r="O45" s="305">
        <f>'6 Oversikt startpunkt'!H80</f>
        <v>1</v>
      </c>
      <c r="P45" s="399">
        <f>'7 Passivhusnivå'!J29</f>
        <v>0.13</v>
      </c>
      <c r="Q45" s="209">
        <f>'6 Oversikt startpunkt'!I80</f>
        <v>0.81</v>
      </c>
      <c r="R45" s="209">
        <f>'7 Passivhusnivå'!K29</f>
        <v>0.13</v>
      </c>
      <c r="S45" s="305">
        <f>'6 Oversikt startpunkt'!J80</f>
        <v>1</v>
      </c>
      <c r="T45" s="399">
        <f>'7 Passivhusnivå'!L29</f>
        <v>0.1</v>
      </c>
      <c r="U45" s="209">
        <f>'6 Oversikt startpunkt'!K80</f>
        <v>1</v>
      </c>
      <c r="V45" s="209">
        <f>'7 Passivhusnivå'!M29</f>
        <v>0.08</v>
      </c>
      <c r="W45" s="305">
        <f>'6 Oversikt startpunkt'!L80</f>
        <v>1</v>
      </c>
      <c r="X45" s="399">
        <f>'7 Passivhusnivå'!N29</f>
        <v>0.13</v>
      </c>
      <c r="Y45" s="311">
        <f>'6 Oversikt startpunkt'!M80</f>
        <v>1</v>
      </c>
      <c r="Z45" s="421">
        <f>'7 Passivhusnivå'!O29</f>
        <v>0.13</v>
      </c>
    </row>
    <row r="46" spans="1:26" s="216" customFormat="1" x14ac:dyDescent="0.2">
      <c r="A46" s="699"/>
      <c r="B46" s="288" t="s">
        <v>490</v>
      </c>
      <c r="C46" s="289" t="s">
        <v>372</v>
      </c>
      <c r="D46" s="290" t="s">
        <v>397</v>
      </c>
      <c r="E46" s="289" t="s">
        <v>372</v>
      </c>
      <c r="F46" s="291" t="s">
        <v>397</v>
      </c>
      <c r="G46" s="292" t="s">
        <v>372</v>
      </c>
      <c r="H46" s="290" t="s">
        <v>397</v>
      </c>
      <c r="I46" s="289" t="s">
        <v>372</v>
      </c>
      <c r="J46" s="291" t="s">
        <v>397</v>
      </c>
      <c r="K46" s="292" t="s">
        <v>372</v>
      </c>
      <c r="L46" s="290" t="s">
        <v>397</v>
      </c>
      <c r="M46" s="289" t="s">
        <v>372</v>
      </c>
      <c r="N46" s="290" t="s">
        <v>397</v>
      </c>
      <c r="O46" s="289" t="s">
        <v>372</v>
      </c>
      <c r="P46" s="290" t="s">
        <v>397</v>
      </c>
      <c r="Q46" s="289" t="s">
        <v>372</v>
      </c>
      <c r="R46" s="290" t="s">
        <v>397</v>
      </c>
      <c r="S46" s="289" t="s">
        <v>372</v>
      </c>
      <c r="T46" s="290" t="s">
        <v>397</v>
      </c>
      <c r="U46" s="289" t="s">
        <v>372</v>
      </c>
      <c r="V46" s="290" t="s">
        <v>397</v>
      </c>
      <c r="W46" s="289" t="s">
        <v>372</v>
      </c>
      <c r="X46" s="290" t="s">
        <v>397</v>
      </c>
      <c r="Y46" s="289" t="s">
        <v>372</v>
      </c>
      <c r="Z46" s="291" t="s">
        <v>397</v>
      </c>
    </row>
    <row r="47" spans="1:26" x14ac:dyDescent="0.2">
      <c r="A47" s="699"/>
      <c r="B47" s="272" t="s">
        <v>373</v>
      </c>
      <c r="C47" s="230">
        <v>56186</v>
      </c>
      <c r="D47" s="231">
        <v>351.2</v>
      </c>
      <c r="E47" s="230">
        <v>262234</v>
      </c>
      <c r="F47" s="273">
        <v>291.39999999999998</v>
      </c>
      <c r="G47" s="285">
        <v>84737</v>
      </c>
      <c r="H47" s="231">
        <v>282.5</v>
      </c>
      <c r="I47" s="230">
        <v>514523</v>
      </c>
      <c r="J47" s="273">
        <v>142.9</v>
      </c>
      <c r="K47" s="285">
        <v>411405</v>
      </c>
      <c r="L47" s="231">
        <v>171.4</v>
      </c>
      <c r="M47" s="230">
        <v>575712</v>
      </c>
      <c r="N47" s="231">
        <v>159.9</v>
      </c>
      <c r="O47" s="230">
        <v>807681</v>
      </c>
      <c r="P47" s="231">
        <v>224.4</v>
      </c>
      <c r="Q47" s="230">
        <v>367190</v>
      </c>
      <c r="R47" s="231">
        <v>153</v>
      </c>
      <c r="S47" s="230">
        <v>510384</v>
      </c>
      <c r="T47" s="231">
        <v>212.7</v>
      </c>
      <c r="U47" s="230">
        <v>861212</v>
      </c>
      <c r="V47" s="231">
        <v>269.10000000000002</v>
      </c>
      <c r="W47" s="230">
        <v>669020</v>
      </c>
      <c r="X47" s="231">
        <v>185.8</v>
      </c>
      <c r="Y47" s="230">
        <v>541893</v>
      </c>
      <c r="Z47" s="273">
        <v>225.8</v>
      </c>
    </row>
    <row r="48" spans="1:26" x14ac:dyDescent="0.2">
      <c r="A48" s="699"/>
      <c r="B48" s="272" t="s">
        <v>374</v>
      </c>
      <c r="C48" s="230">
        <v>0</v>
      </c>
      <c r="D48" s="231">
        <v>0</v>
      </c>
      <c r="E48" s="230">
        <v>0</v>
      </c>
      <c r="F48" s="273">
        <v>0</v>
      </c>
      <c r="G48" s="285">
        <v>20624</v>
      </c>
      <c r="H48" s="231">
        <v>68.7</v>
      </c>
      <c r="I48" s="230">
        <v>216531</v>
      </c>
      <c r="J48" s="273">
        <v>60.1</v>
      </c>
      <c r="K48" s="285">
        <v>193411</v>
      </c>
      <c r="L48" s="231">
        <v>80.599999999999994</v>
      </c>
      <c r="M48" s="230">
        <v>282601</v>
      </c>
      <c r="N48" s="231">
        <v>78.5</v>
      </c>
      <c r="O48" s="230">
        <v>651661</v>
      </c>
      <c r="P48" s="231">
        <v>181</v>
      </c>
      <c r="Q48" s="230">
        <v>429878</v>
      </c>
      <c r="R48" s="231">
        <v>179.1</v>
      </c>
      <c r="S48" s="230">
        <v>253874</v>
      </c>
      <c r="T48" s="231">
        <v>105.8</v>
      </c>
      <c r="U48" s="230">
        <v>275279</v>
      </c>
      <c r="V48" s="231">
        <v>86</v>
      </c>
      <c r="W48" s="230">
        <v>492855</v>
      </c>
      <c r="X48" s="231">
        <v>136.9</v>
      </c>
      <c r="Y48" s="230">
        <v>159616</v>
      </c>
      <c r="Z48" s="273">
        <v>66.5</v>
      </c>
    </row>
    <row r="49" spans="1:26" x14ac:dyDescent="0.2">
      <c r="A49" s="699"/>
      <c r="B49" s="272" t="s">
        <v>375</v>
      </c>
      <c r="C49" s="230">
        <v>4765</v>
      </c>
      <c r="D49" s="231">
        <v>29.8</v>
      </c>
      <c r="E49" s="230">
        <v>26792</v>
      </c>
      <c r="F49" s="273">
        <v>29.8</v>
      </c>
      <c r="G49" s="285">
        <v>3007</v>
      </c>
      <c r="H49" s="231">
        <v>10</v>
      </c>
      <c r="I49" s="230">
        <v>18040</v>
      </c>
      <c r="J49" s="273">
        <v>5</v>
      </c>
      <c r="K49" s="285">
        <v>23530</v>
      </c>
      <c r="L49" s="231">
        <v>9.8000000000000007</v>
      </c>
      <c r="M49" s="230">
        <v>18040</v>
      </c>
      <c r="N49" s="231">
        <v>5</v>
      </c>
      <c r="O49" s="230">
        <v>107170</v>
      </c>
      <c r="P49" s="231">
        <v>29.8</v>
      </c>
      <c r="Q49" s="230">
        <v>71482</v>
      </c>
      <c r="R49" s="231">
        <v>29.8</v>
      </c>
      <c r="S49" s="230">
        <v>71482</v>
      </c>
      <c r="T49" s="231">
        <v>29.8</v>
      </c>
      <c r="U49" s="230">
        <v>156864</v>
      </c>
      <c r="V49" s="231">
        <v>49</v>
      </c>
      <c r="W49" s="230">
        <v>36408</v>
      </c>
      <c r="X49" s="231">
        <v>10.1</v>
      </c>
      <c r="Y49" s="230">
        <v>24054</v>
      </c>
      <c r="Z49" s="273">
        <v>10</v>
      </c>
    </row>
    <row r="50" spans="1:26" x14ac:dyDescent="0.2">
      <c r="A50" s="699"/>
      <c r="B50" s="272" t="s">
        <v>376</v>
      </c>
      <c r="C50" s="230">
        <v>0</v>
      </c>
      <c r="D50" s="231">
        <v>0</v>
      </c>
      <c r="E50" s="230">
        <v>0</v>
      </c>
      <c r="F50" s="273">
        <v>0</v>
      </c>
      <c r="G50" s="285">
        <v>13572</v>
      </c>
      <c r="H50" s="231">
        <v>45.2</v>
      </c>
      <c r="I50" s="230">
        <v>156600</v>
      </c>
      <c r="J50" s="273">
        <v>43.5</v>
      </c>
      <c r="K50" s="285">
        <v>119244</v>
      </c>
      <c r="L50" s="231">
        <v>49.7</v>
      </c>
      <c r="M50" s="230">
        <v>203537</v>
      </c>
      <c r="N50" s="231">
        <v>56.5</v>
      </c>
      <c r="O50" s="230">
        <v>454117</v>
      </c>
      <c r="P50" s="231">
        <v>126.1</v>
      </c>
      <c r="Q50" s="230">
        <v>265534</v>
      </c>
      <c r="R50" s="231">
        <v>110.6</v>
      </c>
      <c r="S50" s="230">
        <v>184952</v>
      </c>
      <c r="T50" s="231">
        <v>77.099999999999994</v>
      </c>
      <c r="U50" s="230">
        <v>137588</v>
      </c>
      <c r="V50" s="231">
        <v>43</v>
      </c>
      <c r="W50" s="230">
        <v>374400</v>
      </c>
      <c r="X50" s="231">
        <v>104</v>
      </c>
      <c r="Y50" s="230">
        <v>116928</v>
      </c>
      <c r="Z50" s="273">
        <v>48.7</v>
      </c>
    </row>
    <row r="51" spans="1:26" x14ac:dyDescent="0.2">
      <c r="A51" s="699"/>
      <c r="B51" s="272" t="s">
        <v>377</v>
      </c>
      <c r="C51" s="230">
        <v>211</v>
      </c>
      <c r="D51" s="231">
        <v>1.3</v>
      </c>
      <c r="E51" s="230">
        <v>1008</v>
      </c>
      <c r="F51" s="273">
        <v>1.1000000000000001</v>
      </c>
      <c r="G51" s="285">
        <v>523</v>
      </c>
      <c r="H51" s="231">
        <v>1.7</v>
      </c>
      <c r="I51" s="230">
        <v>8232</v>
      </c>
      <c r="J51" s="273">
        <v>2.2999999999999998</v>
      </c>
      <c r="K51" s="285">
        <v>4138</v>
      </c>
      <c r="L51" s="231">
        <v>1.7</v>
      </c>
      <c r="M51" s="230">
        <v>9706</v>
      </c>
      <c r="N51" s="231">
        <v>2.7</v>
      </c>
      <c r="O51" s="230">
        <v>11873</v>
      </c>
      <c r="P51" s="231">
        <v>3.3</v>
      </c>
      <c r="Q51" s="230">
        <v>3249</v>
      </c>
      <c r="R51" s="231">
        <v>1.4</v>
      </c>
      <c r="S51" s="230">
        <v>6588</v>
      </c>
      <c r="T51" s="231">
        <v>2.7</v>
      </c>
      <c r="U51" s="230">
        <v>5641</v>
      </c>
      <c r="V51" s="231">
        <v>1.8</v>
      </c>
      <c r="W51" s="230">
        <v>13474</v>
      </c>
      <c r="X51" s="231">
        <v>3.7</v>
      </c>
      <c r="Y51" s="230">
        <v>6575</v>
      </c>
      <c r="Z51" s="273">
        <v>2.7</v>
      </c>
    </row>
    <row r="52" spans="1:26" x14ac:dyDescent="0.2">
      <c r="A52" s="699"/>
      <c r="B52" s="272" t="s">
        <v>378</v>
      </c>
      <c r="C52" s="230">
        <v>2164</v>
      </c>
      <c r="D52" s="231">
        <v>13.5</v>
      </c>
      <c r="E52" s="230">
        <v>12175</v>
      </c>
      <c r="F52" s="273">
        <v>13.5</v>
      </c>
      <c r="G52" s="285">
        <v>15269</v>
      </c>
      <c r="H52" s="231">
        <v>50.9</v>
      </c>
      <c r="I52" s="230">
        <v>211453</v>
      </c>
      <c r="J52" s="273">
        <v>58.7</v>
      </c>
      <c r="K52" s="285">
        <v>125759</v>
      </c>
      <c r="L52" s="231">
        <v>52.4</v>
      </c>
      <c r="M52" s="230">
        <v>211453</v>
      </c>
      <c r="N52" s="231">
        <v>58.7</v>
      </c>
      <c r="O52" s="230">
        <v>374581</v>
      </c>
      <c r="P52" s="231">
        <v>104.1</v>
      </c>
      <c r="Q52" s="230">
        <v>249557</v>
      </c>
      <c r="R52" s="231">
        <v>104</v>
      </c>
      <c r="S52" s="230">
        <v>249557</v>
      </c>
      <c r="T52" s="231">
        <v>104</v>
      </c>
      <c r="U52" s="230">
        <v>154800</v>
      </c>
      <c r="V52" s="231">
        <v>48.4</v>
      </c>
      <c r="W52" s="230">
        <v>473873</v>
      </c>
      <c r="X52" s="231">
        <v>131.6</v>
      </c>
      <c r="Y52" s="230">
        <v>131544</v>
      </c>
      <c r="Z52" s="273">
        <v>54.8</v>
      </c>
    </row>
    <row r="53" spans="1:26" x14ac:dyDescent="0.2">
      <c r="A53" s="699"/>
      <c r="B53" s="272" t="s">
        <v>379</v>
      </c>
      <c r="C53" s="230">
        <v>3329</v>
      </c>
      <c r="D53" s="231">
        <v>20.8</v>
      </c>
      <c r="E53" s="230">
        <v>18727</v>
      </c>
      <c r="F53" s="273">
        <v>20.8</v>
      </c>
      <c r="G53" s="285">
        <v>2036</v>
      </c>
      <c r="H53" s="231">
        <v>6.8</v>
      </c>
      <c r="I53" s="230">
        <v>155070</v>
      </c>
      <c r="J53" s="273">
        <v>43.1</v>
      </c>
      <c r="K53" s="285">
        <v>40248</v>
      </c>
      <c r="L53" s="231">
        <v>16.8</v>
      </c>
      <c r="M53" s="230">
        <v>155070</v>
      </c>
      <c r="N53" s="231">
        <v>43.1</v>
      </c>
      <c r="O53" s="230">
        <v>199728</v>
      </c>
      <c r="P53" s="231">
        <v>55.5</v>
      </c>
      <c r="Q53" s="230">
        <v>66576</v>
      </c>
      <c r="R53" s="231">
        <v>27.7</v>
      </c>
      <c r="S53" s="230">
        <v>16644</v>
      </c>
      <c r="T53" s="231">
        <v>6.9</v>
      </c>
      <c r="U53" s="230">
        <v>10320</v>
      </c>
      <c r="V53" s="231">
        <v>3.2</v>
      </c>
      <c r="W53" s="230">
        <v>16848</v>
      </c>
      <c r="X53" s="231">
        <v>4.7</v>
      </c>
      <c r="Y53" s="230">
        <v>8770</v>
      </c>
      <c r="Z53" s="273">
        <v>3.7</v>
      </c>
    </row>
    <row r="54" spans="1:26" x14ac:dyDescent="0.2">
      <c r="A54" s="699"/>
      <c r="B54" s="272" t="s">
        <v>380</v>
      </c>
      <c r="C54" s="230">
        <v>0</v>
      </c>
      <c r="D54" s="231">
        <v>0</v>
      </c>
      <c r="E54" s="235">
        <v>0</v>
      </c>
      <c r="F54" s="273">
        <v>0</v>
      </c>
      <c r="G54" s="285">
        <v>0</v>
      </c>
      <c r="H54" s="231">
        <v>0</v>
      </c>
      <c r="I54" s="230">
        <v>0</v>
      </c>
      <c r="J54" s="273">
        <v>0</v>
      </c>
      <c r="K54" s="285">
        <v>0</v>
      </c>
      <c r="L54" s="231">
        <v>0</v>
      </c>
      <c r="M54" s="230">
        <v>0</v>
      </c>
      <c r="N54" s="231">
        <v>0</v>
      </c>
      <c r="O54" s="230">
        <v>0</v>
      </c>
      <c r="P54" s="231">
        <v>0</v>
      </c>
      <c r="Q54" s="230">
        <v>0</v>
      </c>
      <c r="R54" s="231">
        <v>0</v>
      </c>
      <c r="S54" s="230">
        <v>0</v>
      </c>
      <c r="T54" s="231">
        <v>0</v>
      </c>
      <c r="U54" s="230">
        <v>0</v>
      </c>
      <c r="V54" s="231">
        <v>0</v>
      </c>
      <c r="W54" s="230">
        <v>0</v>
      </c>
      <c r="X54" s="231">
        <v>0</v>
      </c>
      <c r="Y54" s="230">
        <v>0</v>
      </c>
      <c r="Z54" s="273">
        <v>0</v>
      </c>
    </row>
    <row r="55" spans="1:26" x14ac:dyDescent="0.2">
      <c r="A55" s="699"/>
      <c r="B55" s="272" t="s">
        <v>381</v>
      </c>
      <c r="C55" s="230">
        <v>0</v>
      </c>
      <c r="D55" s="231">
        <v>0</v>
      </c>
      <c r="E55" s="235">
        <v>0</v>
      </c>
      <c r="F55" s="273">
        <v>0</v>
      </c>
      <c r="G55" s="285">
        <v>0</v>
      </c>
      <c r="H55" s="231">
        <v>0</v>
      </c>
      <c r="I55" s="230">
        <v>27840</v>
      </c>
      <c r="J55" s="273">
        <v>7.7</v>
      </c>
      <c r="K55" s="285">
        <v>0</v>
      </c>
      <c r="L55" s="231">
        <v>0</v>
      </c>
      <c r="M55" s="230">
        <v>35848</v>
      </c>
      <c r="N55" s="231">
        <v>10</v>
      </c>
      <c r="O55" s="230">
        <v>68351</v>
      </c>
      <c r="P55" s="231">
        <v>19</v>
      </c>
      <c r="Q55" s="230">
        <v>0</v>
      </c>
      <c r="R55" s="231">
        <v>0</v>
      </c>
      <c r="S55" s="230">
        <v>29653</v>
      </c>
      <c r="T55" s="231">
        <v>12.4</v>
      </c>
      <c r="U55" s="230">
        <v>0</v>
      </c>
      <c r="V55" s="231">
        <v>0</v>
      </c>
      <c r="W55" s="230">
        <v>70164</v>
      </c>
      <c r="X55" s="231">
        <v>19.5</v>
      </c>
      <c r="Y55" s="230">
        <v>22221</v>
      </c>
      <c r="Z55" s="273">
        <v>9.3000000000000007</v>
      </c>
    </row>
    <row r="56" spans="1:26" s="20" customFormat="1" x14ac:dyDescent="0.2">
      <c r="A56" s="699"/>
      <c r="B56" s="274" t="s">
        <v>382</v>
      </c>
      <c r="C56" s="275">
        <v>66655</v>
      </c>
      <c r="D56" s="276">
        <v>416.6</v>
      </c>
      <c r="E56" s="277">
        <v>320938</v>
      </c>
      <c r="F56" s="287">
        <v>356.6</v>
      </c>
      <c r="G56" s="286">
        <v>139767</v>
      </c>
      <c r="H56" s="276">
        <v>465.9</v>
      </c>
      <c r="I56" s="275">
        <v>1308287</v>
      </c>
      <c r="J56" s="279">
        <v>363.4</v>
      </c>
      <c r="K56" s="286">
        <v>917733</v>
      </c>
      <c r="L56" s="276">
        <v>382.4</v>
      </c>
      <c r="M56" s="275">
        <v>1491966</v>
      </c>
      <c r="N56" s="276">
        <v>414.4</v>
      </c>
      <c r="O56" s="275">
        <v>2675163</v>
      </c>
      <c r="P56" s="276">
        <v>743.1</v>
      </c>
      <c r="Q56" s="275">
        <v>1453466</v>
      </c>
      <c r="R56" s="276">
        <v>605.6</v>
      </c>
      <c r="S56" s="275">
        <v>1323134</v>
      </c>
      <c r="T56" s="276">
        <v>551.29999999999995</v>
      </c>
      <c r="U56" s="275">
        <v>1601704</v>
      </c>
      <c r="V56" s="276">
        <v>500.5</v>
      </c>
      <c r="W56" s="275">
        <v>2147041</v>
      </c>
      <c r="X56" s="276">
        <v>596.4</v>
      </c>
      <c r="Y56" s="275">
        <v>1011601</v>
      </c>
      <c r="Z56" s="279">
        <v>421.5</v>
      </c>
    </row>
    <row r="57" spans="1:26" s="216" customFormat="1" x14ac:dyDescent="0.2">
      <c r="A57" s="699"/>
      <c r="B57" s="283" t="s">
        <v>491</v>
      </c>
      <c r="C57" s="289" t="s">
        <v>372</v>
      </c>
      <c r="D57" s="291" t="s">
        <v>397</v>
      </c>
      <c r="E57" s="289" t="s">
        <v>372</v>
      </c>
      <c r="F57" s="291" t="s">
        <v>397</v>
      </c>
      <c r="G57" s="289" t="s">
        <v>372</v>
      </c>
      <c r="H57" s="291" t="s">
        <v>397</v>
      </c>
      <c r="I57" s="289" t="s">
        <v>372</v>
      </c>
      <c r="J57" s="291" t="s">
        <v>397</v>
      </c>
      <c r="K57" s="289" t="s">
        <v>372</v>
      </c>
      <c r="L57" s="291" t="s">
        <v>397</v>
      </c>
      <c r="M57" s="289" t="s">
        <v>372</v>
      </c>
      <c r="N57" s="291" t="s">
        <v>397</v>
      </c>
      <c r="O57" s="289" t="s">
        <v>372</v>
      </c>
      <c r="P57" s="291" t="s">
        <v>397</v>
      </c>
      <c r="Q57" s="289" t="s">
        <v>372</v>
      </c>
      <c r="R57" s="291" t="s">
        <v>397</v>
      </c>
      <c r="S57" s="289" t="s">
        <v>372</v>
      </c>
      <c r="T57" s="291" t="s">
        <v>397</v>
      </c>
      <c r="U57" s="289" t="s">
        <v>372</v>
      </c>
      <c r="V57" s="291" t="s">
        <v>397</v>
      </c>
      <c r="W57" s="289" t="s">
        <v>372</v>
      </c>
      <c r="X57" s="291" t="s">
        <v>397</v>
      </c>
      <c r="Y57" s="289" t="s">
        <v>372</v>
      </c>
      <c r="Z57" s="291" t="s">
        <v>397</v>
      </c>
    </row>
    <row r="58" spans="1:26" x14ac:dyDescent="0.2">
      <c r="A58" s="699"/>
      <c r="B58" s="272" t="s">
        <v>373</v>
      </c>
      <c r="C58" s="230">
        <f>C$6-C47</f>
        <v>9161</v>
      </c>
      <c r="D58" s="293">
        <f t="shared" ref="D58:Z58" si="10">D$6-D47</f>
        <v>57.199999999999989</v>
      </c>
      <c r="E58" s="230">
        <f t="shared" si="10"/>
        <v>30104</v>
      </c>
      <c r="F58" s="293">
        <f t="shared" si="10"/>
        <v>33.400000000000034</v>
      </c>
      <c r="G58" s="230">
        <f t="shared" si="10"/>
        <v>31884</v>
      </c>
      <c r="H58" s="293">
        <f t="shared" si="10"/>
        <v>106.19999999999999</v>
      </c>
      <c r="I58" s="230">
        <f t="shared" si="10"/>
        <v>181185</v>
      </c>
      <c r="J58" s="293">
        <f t="shared" si="10"/>
        <v>50.400000000000006</v>
      </c>
      <c r="K58" s="230">
        <f t="shared" si="10"/>
        <v>169813</v>
      </c>
      <c r="L58" s="293">
        <f t="shared" si="10"/>
        <v>70.799999999999983</v>
      </c>
      <c r="M58" s="230">
        <f t="shared" si="10"/>
        <v>185156</v>
      </c>
      <c r="N58" s="293">
        <f t="shared" si="10"/>
        <v>51.5</v>
      </c>
      <c r="O58" s="230">
        <f t="shared" si="10"/>
        <v>196081</v>
      </c>
      <c r="P58" s="293">
        <f t="shared" si="10"/>
        <v>54.400000000000006</v>
      </c>
      <c r="Q58" s="230">
        <f t="shared" si="10"/>
        <v>138166</v>
      </c>
      <c r="R58" s="293">
        <f t="shared" si="10"/>
        <v>57.599999999999994</v>
      </c>
      <c r="S58" s="230">
        <f t="shared" si="10"/>
        <v>185890</v>
      </c>
      <c r="T58" s="293">
        <f t="shared" si="10"/>
        <v>77.400000000000034</v>
      </c>
      <c r="U58" s="230">
        <f t="shared" si="10"/>
        <v>383190</v>
      </c>
      <c r="V58" s="293">
        <f t="shared" si="10"/>
        <v>119.79999999999995</v>
      </c>
      <c r="W58" s="230">
        <f t="shared" si="10"/>
        <v>192850</v>
      </c>
      <c r="X58" s="293">
        <f t="shared" si="10"/>
        <v>53.599999999999994</v>
      </c>
      <c r="Y58" s="230">
        <f t="shared" si="10"/>
        <v>189418</v>
      </c>
      <c r="Z58" s="293">
        <f t="shared" si="10"/>
        <v>78.899999999999977</v>
      </c>
    </row>
    <row r="59" spans="1:26" x14ac:dyDescent="0.2">
      <c r="A59" s="699"/>
      <c r="B59" s="272" t="s">
        <v>374</v>
      </c>
      <c r="C59" s="230">
        <f t="shared" ref="C59:Z59" si="11">C$7-C48</f>
        <v>0</v>
      </c>
      <c r="D59" s="293">
        <f t="shared" si="11"/>
        <v>0</v>
      </c>
      <c r="E59" s="230">
        <f t="shared" si="11"/>
        <v>0</v>
      </c>
      <c r="F59" s="293">
        <f t="shared" si="11"/>
        <v>0</v>
      </c>
      <c r="G59" s="230">
        <f t="shared" si="11"/>
        <v>69</v>
      </c>
      <c r="H59" s="293">
        <f t="shared" si="11"/>
        <v>0.29999999999999716</v>
      </c>
      <c r="I59" s="230">
        <f t="shared" si="11"/>
        <v>1087</v>
      </c>
      <c r="J59" s="293">
        <f t="shared" si="11"/>
        <v>0.29999999999999716</v>
      </c>
      <c r="K59" s="230">
        <f t="shared" si="11"/>
        <v>1373</v>
      </c>
      <c r="L59" s="293">
        <f t="shared" si="11"/>
        <v>0.60000000000000853</v>
      </c>
      <c r="M59" s="230">
        <f t="shared" si="11"/>
        <v>838</v>
      </c>
      <c r="N59" s="293">
        <f t="shared" si="11"/>
        <v>0.20000000000000284</v>
      </c>
      <c r="O59" s="230">
        <f t="shared" si="11"/>
        <v>369</v>
      </c>
      <c r="P59" s="293">
        <f t="shared" si="11"/>
        <v>9.9999999999994316E-2</v>
      </c>
      <c r="Q59" s="230">
        <f t="shared" si="11"/>
        <v>1555</v>
      </c>
      <c r="R59" s="293">
        <f t="shared" si="11"/>
        <v>0.70000000000001705</v>
      </c>
      <c r="S59" s="230">
        <f t="shared" si="11"/>
        <v>113</v>
      </c>
      <c r="T59" s="293">
        <f t="shared" si="11"/>
        <v>0</v>
      </c>
      <c r="U59" s="230">
        <f t="shared" si="11"/>
        <v>1345</v>
      </c>
      <c r="V59" s="293">
        <f t="shared" si="11"/>
        <v>0.40000000000000568</v>
      </c>
      <c r="W59" s="230">
        <f t="shared" si="11"/>
        <v>897</v>
      </c>
      <c r="X59" s="293">
        <f t="shared" si="11"/>
        <v>0.29999999999998295</v>
      </c>
      <c r="Y59" s="230">
        <f t="shared" si="11"/>
        <v>15</v>
      </c>
      <c r="Z59" s="293">
        <f t="shared" si="11"/>
        <v>0</v>
      </c>
    </row>
    <row r="60" spans="1:26" x14ac:dyDescent="0.2">
      <c r="A60" s="699"/>
      <c r="B60" s="272" t="s">
        <v>375</v>
      </c>
      <c r="C60" s="230">
        <f>C$8-C49</f>
        <v>0</v>
      </c>
      <c r="D60" s="293">
        <f t="shared" ref="D60:Z60" si="12">D$8-D49</f>
        <v>0</v>
      </c>
      <c r="E60" s="230">
        <f t="shared" si="12"/>
        <v>0</v>
      </c>
      <c r="F60" s="293">
        <f t="shared" si="12"/>
        <v>0</v>
      </c>
      <c r="G60" s="230">
        <f t="shared" si="12"/>
        <v>0</v>
      </c>
      <c r="H60" s="293">
        <f t="shared" si="12"/>
        <v>0</v>
      </c>
      <c r="I60" s="230">
        <f t="shared" si="12"/>
        <v>0</v>
      </c>
      <c r="J60" s="293">
        <f t="shared" si="12"/>
        <v>0</v>
      </c>
      <c r="K60" s="230">
        <f t="shared" si="12"/>
        <v>0</v>
      </c>
      <c r="L60" s="293">
        <f t="shared" si="12"/>
        <v>0</v>
      </c>
      <c r="M60" s="230">
        <f t="shared" si="12"/>
        <v>0</v>
      </c>
      <c r="N60" s="293">
        <f t="shared" si="12"/>
        <v>0</v>
      </c>
      <c r="O60" s="230">
        <f t="shared" si="12"/>
        <v>0</v>
      </c>
      <c r="P60" s="293">
        <f t="shared" si="12"/>
        <v>0</v>
      </c>
      <c r="Q60" s="230">
        <f t="shared" si="12"/>
        <v>0</v>
      </c>
      <c r="R60" s="293">
        <f t="shared" si="12"/>
        <v>0</v>
      </c>
      <c r="S60" s="230">
        <f t="shared" si="12"/>
        <v>0</v>
      </c>
      <c r="T60" s="293">
        <f t="shared" si="12"/>
        <v>0</v>
      </c>
      <c r="U60" s="230">
        <f t="shared" si="12"/>
        <v>0</v>
      </c>
      <c r="V60" s="293">
        <f t="shared" si="12"/>
        <v>0</v>
      </c>
      <c r="W60" s="230">
        <f t="shared" si="12"/>
        <v>0</v>
      </c>
      <c r="X60" s="293">
        <f t="shared" si="12"/>
        <v>0</v>
      </c>
      <c r="Y60" s="230">
        <f t="shared" si="12"/>
        <v>0</v>
      </c>
      <c r="Z60" s="293">
        <f t="shared" si="12"/>
        <v>0</v>
      </c>
    </row>
    <row r="61" spans="1:26" x14ac:dyDescent="0.2">
      <c r="A61" s="699"/>
      <c r="B61" s="272" t="s">
        <v>376</v>
      </c>
      <c r="C61" s="230">
        <f t="shared" ref="C61:Z61" si="13">C$9-C50</f>
        <v>0</v>
      </c>
      <c r="D61" s="293">
        <f t="shared" si="13"/>
        <v>0</v>
      </c>
      <c r="E61" s="230">
        <f t="shared" si="13"/>
        <v>0</v>
      </c>
      <c r="F61" s="293">
        <f t="shared" si="13"/>
        <v>0</v>
      </c>
      <c r="G61" s="230">
        <f t="shared" si="13"/>
        <v>0</v>
      </c>
      <c r="H61" s="293">
        <f t="shared" si="13"/>
        <v>0</v>
      </c>
      <c r="I61" s="230">
        <f t="shared" si="13"/>
        <v>0</v>
      </c>
      <c r="J61" s="293">
        <f t="shared" si="13"/>
        <v>0</v>
      </c>
      <c r="K61" s="230">
        <f t="shared" si="13"/>
        <v>0</v>
      </c>
      <c r="L61" s="293">
        <f t="shared" si="13"/>
        <v>0</v>
      </c>
      <c r="M61" s="230">
        <f t="shared" si="13"/>
        <v>0</v>
      </c>
      <c r="N61" s="293">
        <f t="shared" si="13"/>
        <v>0</v>
      </c>
      <c r="O61" s="230">
        <f t="shared" si="13"/>
        <v>0</v>
      </c>
      <c r="P61" s="293">
        <f t="shared" si="13"/>
        <v>0</v>
      </c>
      <c r="Q61" s="230">
        <f t="shared" si="13"/>
        <v>0</v>
      </c>
      <c r="R61" s="293">
        <f t="shared" si="13"/>
        <v>0</v>
      </c>
      <c r="S61" s="230">
        <f t="shared" si="13"/>
        <v>0</v>
      </c>
      <c r="T61" s="293">
        <f t="shared" si="13"/>
        <v>0</v>
      </c>
      <c r="U61" s="230">
        <f t="shared" si="13"/>
        <v>0</v>
      </c>
      <c r="V61" s="293">
        <f t="shared" si="13"/>
        <v>0</v>
      </c>
      <c r="W61" s="230">
        <f t="shared" si="13"/>
        <v>0</v>
      </c>
      <c r="X61" s="293">
        <f t="shared" si="13"/>
        <v>0</v>
      </c>
      <c r="Y61" s="230">
        <f t="shared" si="13"/>
        <v>0</v>
      </c>
      <c r="Z61" s="293">
        <f t="shared" si="13"/>
        <v>0</v>
      </c>
    </row>
    <row r="62" spans="1:26" x14ac:dyDescent="0.2">
      <c r="A62" s="699"/>
      <c r="B62" s="272" t="s">
        <v>377</v>
      </c>
      <c r="C62" s="230">
        <f t="shared" ref="C62:Z62" si="14">C$10-C51</f>
        <v>21</v>
      </c>
      <c r="D62" s="293">
        <f t="shared" si="14"/>
        <v>9.9999999999999867E-2</v>
      </c>
      <c r="E62" s="230">
        <f t="shared" si="14"/>
        <v>94</v>
      </c>
      <c r="F62" s="293">
        <f t="shared" si="14"/>
        <v>9.9999999999999867E-2</v>
      </c>
      <c r="G62" s="230">
        <f t="shared" si="14"/>
        <v>62</v>
      </c>
      <c r="H62" s="293">
        <f t="shared" si="14"/>
        <v>0.30000000000000004</v>
      </c>
      <c r="I62" s="230">
        <f t="shared" si="14"/>
        <v>550</v>
      </c>
      <c r="J62" s="293">
        <f t="shared" si="14"/>
        <v>0.10000000000000009</v>
      </c>
      <c r="K62" s="230">
        <f t="shared" si="14"/>
        <v>497</v>
      </c>
      <c r="L62" s="293">
        <f t="shared" si="14"/>
        <v>0.19999999999999996</v>
      </c>
      <c r="M62" s="230">
        <f t="shared" si="14"/>
        <v>331</v>
      </c>
      <c r="N62" s="293">
        <f t="shared" si="14"/>
        <v>9.9999999999999645E-2</v>
      </c>
      <c r="O62" s="230">
        <f t="shared" si="14"/>
        <v>363</v>
      </c>
      <c r="P62" s="293">
        <f t="shared" si="14"/>
        <v>0.10000000000000009</v>
      </c>
      <c r="Q62" s="230">
        <f t="shared" si="14"/>
        <v>430</v>
      </c>
      <c r="R62" s="293">
        <f t="shared" si="14"/>
        <v>0.10000000000000009</v>
      </c>
      <c r="S62" s="230">
        <f t="shared" si="14"/>
        <v>536</v>
      </c>
      <c r="T62" s="293">
        <f t="shared" si="14"/>
        <v>0.29999999999999982</v>
      </c>
      <c r="U62" s="230">
        <f t="shared" si="14"/>
        <v>601</v>
      </c>
      <c r="V62" s="293">
        <f t="shared" si="14"/>
        <v>0.19999999999999996</v>
      </c>
      <c r="W62" s="230">
        <f t="shared" si="14"/>
        <v>561</v>
      </c>
      <c r="X62" s="293">
        <f t="shared" si="14"/>
        <v>0.19999999999999973</v>
      </c>
      <c r="Y62" s="230">
        <f t="shared" si="14"/>
        <v>405</v>
      </c>
      <c r="Z62" s="293">
        <f t="shared" si="14"/>
        <v>0.19999999999999973</v>
      </c>
    </row>
    <row r="63" spans="1:26" x14ac:dyDescent="0.2">
      <c r="A63" s="699"/>
      <c r="B63" s="272" t="s">
        <v>378</v>
      </c>
      <c r="C63" s="230">
        <f t="shared" ref="C63:Z63" si="15">C$11-C52</f>
        <v>0</v>
      </c>
      <c r="D63" s="293">
        <f t="shared" si="15"/>
        <v>0</v>
      </c>
      <c r="E63" s="230">
        <f t="shared" si="15"/>
        <v>0</v>
      </c>
      <c r="F63" s="293">
        <f t="shared" si="15"/>
        <v>0</v>
      </c>
      <c r="G63" s="230">
        <f t="shared" si="15"/>
        <v>0</v>
      </c>
      <c r="H63" s="293">
        <f t="shared" si="15"/>
        <v>0</v>
      </c>
      <c r="I63" s="230">
        <f t="shared" si="15"/>
        <v>0</v>
      </c>
      <c r="J63" s="293">
        <f t="shared" si="15"/>
        <v>0</v>
      </c>
      <c r="K63" s="230">
        <f t="shared" si="15"/>
        <v>0</v>
      </c>
      <c r="L63" s="293">
        <f t="shared" si="15"/>
        <v>0</v>
      </c>
      <c r="M63" s="230">
        <f t="shared" si="15"/>
        <v>0</v>
      </c>
      <c r="N63" s="293">
        <f t="shared" si="15"/>
        <v>0</v>
      </c>
      <c r="O63" s="230">
        <f t="shared" si="15"/>
        <v>0</v>
      </c>
      <c r="P63" s="293">
        <f t="shared" si="15"/>
        <v>0</v>
      </c>
      <c r="Q63" s="230">
        <f t="shared" si="15"/>
        <v>0</v>
      </c>
      <c r="R63" s="293">
        <f t="shared" si="15"/>
        <v>0</v>
      </c>
      <c r="S63" s="230">
        <f t="shared" si="15"/>
        <v>0</v>
      </c>
      <c r="T63" s="293">
        <f t="shared" si="15"/>
        <v>0</v>
      </c>
      <c r="U63" s="230">
        <f t="shared" si="15"/>
        <v>0</v>
      </c>
      <c r="V63" s="293">
        <f t="shared" si="15"/>
        <v>0</v>
      </c>
      <c r="W63" s="230">
        <f t="shared" si="15"/>
        <v>0</v>
      </c>
      <c r="X63" s="293">
        <f t="shared" si="15"/>
        <v>0</v>
      </c>
      <c r="Y63" s="230">
        <f t="shared" si="15"/>
        <v>0</v>
      </c>
      <c r="Z63" s="293">
        <f t="shared" si="15"/>
        <v>0</v>
      </c>
    </row>
    <row r="64" spans="1:26" x14ac:dyDescent="0.2">
      <c r="A64" s="699"/>
      <c r="B64" s="272" t="s">
        <v>379</v>
      </c>
      <c r="C64" s="230">
        <f t="shared" ref="C64:Z64" si="16">C$12-C53</f>
        <v>0</v>
      </c>
      <c r="D64" s="293">
        <f t="shared" si="16"/>
        <v>0</v>
      </c>
      <c r="E64" s="230">
        <f t="shared" si="16"/>
        <v>0</v>
      </c>
      <c r="F64" s="293">
        <f t="shared" si="16"/>
        <v>0</v>
      </c>
      <c r="G64" s="230">
        <f t="shared" si="16"/>
        <v>0</v>
      </c>
      <c r="H64" s="293">
        <f t="shared" si="16"/>
        <v>0</v>
      </c>
      <c r="I64" s="230">
        <f t="shared" si="16"/>
        <v>0</v>
      </c>
      <c r="J64" s="293">
        <f t="shared" si="16"/>
        <v>0</v>
      </c>
      <c r="K64" s="230">
        <f t="shared" si="16"/>
        <v>0</v>
      </c>
      <c r="L64" s="293">
        <f t="shared" si="16"/>
        <v>0</v>
      </c>
      <c r="M64" s="230">
        <f t="shared" si="16"/>
        <v>0</v>
      </c>
      <c r="N64" s="293">
        <f t="shared" si="16"/>
        <v>0</v>
      </c>
      <c r="O64" s="230">
        <f t="shared" si="16"/>
        <v>0</v>
      </c>
      <c r="P64" s="293">
        <f t="shared" si="16"/>
        <v>0</v>
      </c>
      <c r="Q64" s="230">
        <f t="shared" si="16"/>
        <v>0</v>
      </c>
      <c r="R64" s="293">
        <f t="shared" si="16"/>
        <v>0</v>
      </c>
      <c r="S64" s="230">
        <f t="shared" si="16"/>
        <v>0</v>
      </c>
      <c r="T64" s="293">
        <f t="shared" si="16"/>
        <v>0</v>
      </c>
      <c r="U64" s="230">
        <f t="shared" si="16"/>
        <v>0</v>
      </c>
      <c r="V64" s="293">
        <f t="shared" si="16"/>
        <v>0</v>
      </c>
      <c r="W64" s="230">
        <f t="shared" si="16"/>
        <v>0</v>
      </c>
      <c r="X64" s="293">
        <f t="shared" si="16"/>
        <v>0</v>
      </c>
      <c r="Y64" s="230">
        <f t="shared" si="16"/>
        <v>0</v>
      </c>
      <c r="Z64" s="293">
        <f t="shared" si="16"/>
        <v>0</v>
      </c>
    </row>
    <row r="65" spans="1:26" x14ac:dyDescent="0.2">
      <c r="A65" s="699"/>
      <c r="B65" s="272" t="s">
        <v>380</v>
      </c>
      <c r="C65" s="230">
        <f t="shared" ref="C65:Z65" si="17">C$13-C54</f>
        <v>0</v>
      </c>
      <c r="D65" s="293">
        <f t="shared" si="17"/>
        <v>0</v>
      </c>
      <c r="E65" s="230">
        <f t="shared" si="17"/>
        <v>0</v>
      </c>
      <c r="F65" s="293">
        <f t="shared" si="17"/>
        <v>0</v>
      </c>
      <c r="G65" s="230">
        <f t="shared" si="17"/>
        <v>0</v>
      </c>
      <c r="H65" s="293">
        <f t="shared" si="17"/>
        <v>0</v>
      </c>
      <c r="I65" s="230">
        <f t="shared" si="17"/>
        <v>0</v>
      </c>
      <c r="J65" s="293">
        <f t="shared" si="17"/>
        <v>0</v>
      </c>
      <c r="K65" s="230">
        <f t="shared" si="17"/>
        <v>0</v>
      </c>
      <c r="L65" s="293">
        <f t="shared" si="17"/>
        <v>0</v>
      </c>
      <c r="M65" s="230">
        <f t="shared" si="17"/>
        <v>0</v>
      </c>
      <c r="N65" s="293">
        <f t="shared" si="17"/>
        <v>0</v>
      </c>
      <c r="O65" s="230">
        <f t="shared" si="17"/>
        <v>0</v>
      </c>
      <c r="P65" s="293">
        <f t="shared" si="17"/>
        <v>0</v>
      </c>
      <c r="Q65" s="230">
        <f t="shared" si="17"/>
        <v>0</v>
      </c>
      <c r="R65" s="293">
        <f t="shared" si="17"/>
        <v>0</v>
      </c>
      <c r="S65" s="230">
        <f t="shared" si="17"/>
        <v>0</v>
      </c>
      <c r="T65" s="293">
        <f t="shared" si="17"/>
        <v>0</v>
      </c>
      <c r="U65" s="230">
        <f t="shared" si="17"/>
        <v>0</v>
      </c>
      <c r="V65" s="293">
        <f t="shared" si="17"/>
        <v>0</v>
      </c>
      <c r="W65" s="230">
        <f t="shared" si="17"/>
        <v>0</v>
      </c>
      <c r="X65" s="293">
        <f t="shared" si="17"/>
        <v>0</v>
      </c>
      <c r="Y65" s="230">
        <f t="shared" si="17"/>
        <v>0</v>
      </c>
      <c r="Z65" s="293">
        <f t="shared" si="17"/>
        <v>0</v>
      </c>
    </row>
    <row r="66" spans="1:26" x14ac:dyDescent="0.2">
      <c r="A66" s="699"/>
      <c r="B66" s="272" t="s">
        <v>381</v>
      </c>
      <c r="C66" s="230">
        <f t="shared" ref="C66:Z66" si="18">C$14-C55</f>
        <v>0</v>
      </c>
      <c r="D66" s="293">
        <f t="shared" si="18"/>
        <v>0</v>
      </c>
      <c r="E66" s="230">
        <f t="shared" si="18"/>
        <v>0</v>
      </c>
      <c r="F66" s="293">
        <f t="shared" si="18"/>
        <v>0</v>
      </c>
      <c r="G66" s="230">
        <f t="shared" si="18"/>
        <v>0</v>
      </c>
      <c r="H66" s="293">
        <f t="shared" si="18"/>
        <v>0</v>
      </c>
      <c r="I66" s="230">
        <f t="shared" si="18"/>
        <v>0</v>
      </c>
      <c r="J66" s="293">
        <f t="shared" si="18"/>
        <v>0</v>
      </c>
      <c r="K66" s="230">
        <f t="shared" si="18"/>
        <v>0</v>
      </c>
      <c r="L66" s="293">
        <f t="shared" si="18"/>
        <v>0</v>
      </c>
      <c r="M66" s="230">
        <f t="shared" si="18"/>
        <v>0</v>
      </c>
      <c r="N66" s="293">
        <f t="shared" si="18"/>
        <v>0</v>
      </c>
      <c r="O66" s="230">
        <f t="shared" si="18"/>
        <v>0</v>
      </c>
      <c r="P66" s="293">
        <f t="shared" si="18"/>
        <v>0</v>
      </c>
      <c r="Q66" s="230">
        <f t="shared" si="18"/>
        <v>0</v>
      </c>
      <c r="R66" s="293">
        <f t="shared" si="18"/>
        <v>0</v>
      </c>
      <c r="S66" s="230">
        <f t="shared" si="18"/>
        <v>0</v>
      </c>
      <c r="T66" s="293">
        <f t="shared" si="18"/>
        <v>0</v>
      </c>
      <c r="U66" s="230">
        <f t="shared" si="18"/>
        <v>0</v>
      </c>
      <c r="V66" s="293">
        <f t="shared" si="18"/>
        <v>0</v>
      </c>
      <c r="W66" s="230">
        <f t="shared" si="18"/>
        <v>0</v>
      </c>
      <c r="X66" s="293">
        <f t="shared" si="18"/>
        <v>0</v>
      </c>
      <c r="Y66" s="230">
        <f t="shared" si="18"/>
        <v>0</v>
      </c>
      <c r="Z66" s="293">
        <f t="shared" si="18"/>
        <v>0</v>
      </c>
    </row>
    <row r="67" spans="1:26" s="20" customFormat="1" x14ac:dyDescent="0.2">
      <c r="A67" s="700"/>
      <c r="B67" s="274" t="s">
        <v>382</v>
      </c>
      <c r="C67" s="275">
        <f t="shared" ref="C67:Z67" si="19">C$15-C56</f>
        <v>9182</v>
      </c>
      <c r="D67" s="294">
        <f t="shared" si="19"/>
        <v>57.399999999999977</v>
      </c>
      <c r="E67" s="275">
        <f t="shared" si="19"/>
        <v>30197</v>
      </c>
      <c r="F67" s="294">
        <f t="shared" si="19"/>
        <v>33.599999999999966</v>
      </c>
      <c r="G67" s="275">
        <f t="shared" si="19"/>
        <v>32016</v>
      </c>
      <c r="H67" s="294">
        <f t="shared" si="19"/>
        <v>106.70000000000005</v>
      </c>
      <c r="I67" s="275">
        <f t="shared" si="19"/>
        <v>182823</v>
      </c>
      <c r="J67" s="294">
        <f t="shared" si="19"/>
        <v>50.800000000000011</v>
      </c>
      <c r="K67" s="275">
        <f t="shared" si="19"/>
        <v>171683</v>
      </c>
      <c r="L67" s="294">
        <f t="shared" si="19"/>
        <v>71.5</v>
      </c>
      <c r="M67" s="275">
        <f t="shared" si="19"/>
        <v>186326</v>
      </c>
      <c r="N67" s="294">
        <f t="shared" si="19"/>
        <v>51.800000000000011</v>
      </c>
      <c r="O67" s="275">
        <f t="shared" si="19"/>
        <v>196812</v>
      </c>
      <c r="P67" s="294">
        <f t="shared" si="19"/>
        <v>54.699999999999932</v>
      </c>
      <c r="Q67" s="275">
        <f t="shared" si="19"/>
        <v>140151</v>
      </c>
      <c r="R67" s="294">
        <f t="shared" si="19"/>
        <v>58.399999999999977</v>
      </c>
      <c r="S67" s="275">
        <f t="shared" si="19"/>
        <v>186538</v>
      </c>
      <c r="T67" s="294">
        <f t="shared" si="19"/>
        <v>77.700000000000045</v>
      </c>
      <c r="U67" s="275">
        <f t="shared" si="19"/>
        <v>385136</v>
      </c>
      <c r="V67" s="294">
        <f t="shared" si="19"/>
        <v>120.39999999999998</v>
      </c>
      <c r="W67" s="275">
        <f t="shared" si="19"/>
        <v>194309</v>
      </c>
      <c r="X67" s="294">
        <f t="shared" si="19"/>
        <v>54</v>
      </c>
      <c r="Y67" s="275">
        <f t="shared" si="19"/>
        <v>189838</v>
      </c>
      <c r="Z67" s="294">
        <f t="shared" si="19"/>
        <v>79.100000000000023</v>
      </c>
    </row>
    <row r="68" spans="1:26" s="20" customFormat="1" x14ac:dyDescent="0.2">
      <c r="A68" s="266"/>
      <c r="B68" s="227"/>
      <c r="C68" s="267"/>
      <c r="D68" s="232"/>
      <c r="E68" s="268"/>
      <c r="F68" s="237"/>
      <c r="G68" s="267"/>
      <c r="H68" s="232"/>
      <c r="I68" s="267"/>
      <c r="J68" s="232"/>
      <c r="K68" s="267"/>
      <c r="L68" s="232"/>
      <c r="M68" s="267"/>
      <c r="N68" s="232"/>
      <c r="O68" s="267"/>
      <c r="P68" s="232"/>
      <c r="Q68" s="267"/>
      <c r="R68" s="232"/>
      <c r="S68" s="267"/>
      <c r="T68" s="232"/>
      <c r="U68" s="267"/>
      <c r="V68" s="232"/>
      <c r="W68" s="267"/>
      <c r="X68" s="232"/>
      <c r="Y68" s="267"/>
      <c r="Z68" s="232"/>
    </row>
    <row r="69" spans="1:26" s="202" customFormat="1" x14ac:dyDescent="0.2">
      <c r="A69" s="698" t="s">
        <v>512</v>
      </c>
      <c r="B69" s="269" t="s">
        <v>488</v>
      </c>
      <c r="C69" s="304" t="s">
        <v>486</v>
      </c>
      <c r="D69" s="280" t="s">
        <v>487</v>
      </c>
      <c r="E69" s="304" t="s">
        <v>486</v>
      </c>
      <c r="F69" s="280" t="s">
        <v>487</v>
      </c>
      <c r="G69" s="304" t="s">
        <v>486</v>
      </c>
      <c r="H69" s="280" t="s">
        <v>487</v>
      </c>
      <c r="I69" s="304" t="s">
        <v>486</v>
      </c>
      <c r="J69" s="280" t="s">
        <v>487</v>
      </c>
      <c r="K69" s="304" t="s">
        <v>486</v>
      </c>
      <c r="L69" s="280" t="s">
        <v>487</v>
      </c>
      <c r="M69" s="304" t="s">
        <v>486</v>
      </c>
      <c r="N69" s="280" t="s">
        <v>487</v>
      </c>
      <c r="O69" s="304" t="s">
        <v>486</v>
      </c>
      <c r="P69" s="280" t="s">
        <v>487</v>
      </c>
      <c r="Q69" s="304" t="s">
        <v>486</v>
      </c>
      <c r="R69" s="280" t="s">
        <v>487</v>
      </c>
      <c r="S69" s="304" t="s">
        <v>486</v>
      </c>
      <c r="T69" s="280" t="s">
        <v>487</v>
      </c>
      <c r="U69" s="304" t="s">
        <v>486</v>
      </c>
      <c r="V69" s="280" t="s">
        <v>487</v>
      </c>
      <c r="W69" s="304" t="s">
        <v>486</v>
      </c>
      <c r="X69" s="280" t="s">
        <v>487</v>
      </c>
      <c r="Y69" s="304" t="s">
        <v>486</v>
      </c>
      <c r="Z69" s="314" t="s">
        <v>487</v>
      </c>
    </row>
    <row r="70" spans="1:26" x14ac:dyDescent="0.2">
      <c r="A70" s="699"/>
      <c r="B70" s="144" t="s">
        <v>256</v>
      </c>
      <c r="C70" s="305">
        <f>'6 Oversikt startpunkt'!B79</f>
        <v>0.61</v>
      </c>
      <c r="D70" s="399">
        <f>'7 Passivhusnivå'!C28</f>
        <v>0.09</v>
      </c>
      <c r="E70" s="209">
        <f>'6 Oversikt startpunkt'!C79</f>
        <v>0.55000000000000004</v>
      </c>
      <c r="F70" s="209">
        <f>'7 Passivhusnivå'!D28</f>
        <v>0.09</v>
      </c>
      <c r="G70" s="305">
        <f>'6 Oversikt startpunkt'!D79</f>
        <v>0.6</v>
      </c>
      <c r="H70" s="399">
        <f>'7 Passivhusnivå'!F28</f>
        <v>0.09</v>
      </c>
      <c r="I70" s="209">
        <f>'6 Oversikt startpunkt'!E79</f>
        <v>0.6</v>
      </c>
      <c r="J70" s="209">
        <f>'7 Passivhusnivå'!G28</f>
        <v>0.11</v>
      </c>
      <c r="K70" s="305">
        <f>'6 Oversikt startpunkt'!F79</f>
        <v>0.6</v>
      </c>
      <c r="L70" s="399">
        <f>'7 Passivhusnivå'!H28</f>
        <v>0.11</v>
      </c>
      <c r="M70" s="209">
        <f>'6 Oversikt startpunkt'!G79</f>
        <v>0.6</v>
      </c>
      <c r="N70" s="209">
        <f>'7 Passivhusnivå'!I28</f>
        <v>0.11</v>
      </c>
      <c r="O70" s="305">
        <f>'6 Oversikt startpunkt'!H79</f>
        <v>0.6</v>
      </c>
      <c r="P70" s="399">
        <f>'7 Passivhusnivå'!J28</f>
        <v>0.11</v>
      </c>
      <c r="Q70" s="209">
        <f>'6 Oversikt startpunkt'!I79</f>
        <v>0.6</v>
      </c>
      <c r="R70" s="209">
        <f>'7 Passivhusnivå'!K28</f>
        <v>0.11</v>
      </c>
      <c r="S70" s="305">
        <f>'6 Oversikt startpunkt'!J79</f>
        <v>0.6</v>
      </c>
      <c r="T70" s="399">
        <f>'7 Passivhusnivå'!L28</f>
        <v>0.09</v>
      </c>
      <c r="U70" s="209">
        <f>'6 Oversikt startpunkt'!K79</f>
        <v>0.6</v>
      </c>
      <c r="V70" s="209">
        <f>'7 Passivhusnivå'!M28</f>
        <v>0.09</v>
      </c>
      <c r="W70" s="305">
        <f>'6 Oversikt startpunkt'!L79</f>
        <v>0.6</v>
      </c>
      <c r="X70" s="367">
        <f>'7 Passivhusnivå'!N28</f>
        <v>0.11</v>
      </c>
      <c r="Y70" s="305">
        <f>'6 Oversikt startpunkt'!M79</f>
        <v>0.6</v>
      </c>
      <c r="Z70" s="399">
        <f>'7 Passivhusnivå'!O28</f>
        <v>0.11</v>
      </c>
    </row>
    <row r="71" spans="1:26" s="216" customFormat="1" x14ac:dyDescent="0.2">
      <c r="A71" s="699"/>
      <c r="B71" s="288" t="s">
        <v>490</v>
      </c>
      <c r="C71" s="289" t="s">
        <v>372</v>
      </c>
      <c r="D71" s="290" t="s">
        <v>397</v>
      </c>
      <c r="E71" s="289" t="s">
        <v>372</v>
      </c>
      <c r="F71" s="291" t="s">
        <v>397</v>
      </c>
      <c r="G71" s="292" t="s">
        <v>372</v>
      </c>
      <c r="H71" s="290" t="s">
        <v>397</v>
      </c>
      <c r="I71" s="289" t="s">
        <v>372</v>
      </c>
      <c r="J71" s="291" t="s">
        <v>397</v>
      </c>
      <c r="K71" s="292" t="s">
        <v>372</v>
      </c>
      <c r="L71" s="290" t="s">
        <v>397</v>
      </c>
      <c r="M71" s="289" t="s">
        <v>372</v>
      </c>
      <c r="N71" s="290" t="s">
        <v>397</v>
      </c>
      <c r="O71" s="289" t="s">
        <v>372</v>
      </c>
      <c r="P71" s="290" t="s">
        <v>397</v>
      </c>
      <c r="Q71" s="289" t="s">
        <v>372</v>
      </c>
      <c r="R71" s="290" t="s">
        <v>397</v>
      </c>
      <c r="S71" s="289" t="s">
        <v>372</v>
      </c>
      <c r="T71" s="290" t="s">
        <v>397</v>
      </c>
      <c r="U71" s="289" t="s">
        <v>372</v>
      </c>
      <c r="V71" s="290" t="s">
        <v>397</v>
      </c>
      <c r="W71" s="289" t="s">
        <v>372</v>
      </c>
      <c r="X71" s="290" t="s">
        <v>397</v>
      </c>
      <c r="Y71" s="289" t="s">
        <v>372</v>
      </c>
      <c r="Z71" s="291" t="s">
        <v>397</v>
      </c>
    </row>
    <row r="72" spans="1:26" x14ac:dyDescent="0.2">
      <c r="A72" s="699"/>
      <c r="B72" s="272" t="s">
        <v>373</v>
      </c>
      <c r="C72" s="230">
        <v>60117</v>
      </c>
      <c r="D72" s="231">
        <v>375.7</v>
      </c>
      <c r="E72" s="230">
        <v>274947</v>
      </c>
      <c r="F72" s="273">
        <v>305.5</v>
      </c>
      <c r="G72" s="285">
        <v>96155</v>
      </c>
      <c r="H72" s="231">
        <v>320.5</v>
      </c>
      <c r="I72" s="230">
        <v>609432</v>
      </c>
      <c r="J72" s="273">
        <v>169.3</v>
      </c>
      <c r="K72" s="285">
        <v>501388</v>
      </c>
      <c r="L72" s="231">
        <v>208.9</v>
      </c>
      <c r="M72" s="230">
        <v>672902</v>
      </c>
      <c r="N72" s="231">
        <v>186.9</v>
      </c>
      <c r="O72" s="230">
        <v>910769</v>
      </c>
      <c r="P72" s="231">
        <v>253</v>
      </c>
      <c r="Q72" s="230">
        <v>415863</v>
      </c>
      <c r="R72" s="231">
        <v>173.3</v>
      </c>
      <c r="S72" s="230">
        <v>608584</v>
      </c>
      <c r="T72" s="231">
        <v>253.6</v>
      </c>
      <c r="U72" s="230">
        <v>1069804</v>
      </c>
      <c r="V72" s="231">
        <v>334.3</v>
      </c>
      <c r="W72" s="230">
        <v>770221</v>
      </c>
      <c r="X72" s="231">
        <v>214</v>
      </c>
      <c r="Y72" s="230">
        <v>641635</v>
      </c>
      <c r="Z72" s="273">
        <v>267.3</v>
      </c>
    </row>
    <row r="73" spans="1:26" x14ac:dyDescent="0.2">
      <c r="A73" s="699"/>
      <c r="B73" s="272" t="s">
        <v>374</v>
      </c>
      <c r="C73" s="230">
        <v>0</v>
      </c>
      <c r="D73" s="231">
        <v>0</v>
      </c>
      <c r="E73" s="230">
        <v>0</v>
      </c>
      <c r="F73" s="273">
        <v>0</v>
      </c>
      <c r="G73" s="285">
        <v>20660</v>
      </c>
      <c r="H73" s="231">
        <v>68.900000000000006</v>
      </c>
      <c r="I73" s="230">
        <v>217192</v>
      </c>
      <c r="J73" s="273">
        <v>60.3</v>
      </c>
      <c r="K73" s="285">
        <v>194298</v>
      </c>
      <c r="L73" s="231">
        <v>81</v>
      </c>
      <c r="M73" s="230">
        <v>283138</v>
      </c>
      <c r="N73" s="231">
        <v>78.599999999999994</v>
      </c>
      <c r="O73" s="230">
        <v>651917</v>
      </c>
      <c r="P73" s="231">
        <v>181.1</v>
      </c>
      <c r="Q73" s="230">
        <v>430593</v>
      </c>
      <c r="R73" s="231">
        <v>179.4</v>
      </c>
      <c r="S73" s="230">
        <v>253957</v>
      </c>
      <c r="T73" s="231">
        <v>105.8</v>
      </c>
      <c r="U73" s="230">
        <v>276221</v>
      </c>
      <c r="V73" s="231">
        <v>86.3</v>
      </c>
      <c r="W73" s="230">
        <v>493426</v>
      </c>
      <c r="X73" s="231">
        <v>137.1</v>
      </c>
      <c r="Y73" s="230">
        <v>159629</v>
      </c>
      <c r="Z73" s="273">
        <v>66.5</v>
      </c>
    </row>
    <row r="74" spans="1:26" x14ac:dyDescent="0.2">
      <c r="A74" s="699"/>
      <c r="B74" s="272" t="s">
        <v>375</v>
      </c>
      <c r="C74" s="230">
        <v>4765</v>
      </c>
      <c r="D74" s="231">
        <v>29.8</v>
      </c>
      <c r="E74" s="230">
        <v>26792</v>
      </c>
      <c r="F74" s="273">
        <v>29.8</v>
      </c>
      <c r="G74" s="285">
        <v>3007</v>
      </c>
      <c r="H74" s="231">
        <v>10</v>
      </c>
      <c r="I74" s="230">
        <v>18040</v>
      </c>
      <c r="J74" s="273">
        <v>5</v>
      </c>
      <c r="K74" s="285">
        <v>23530</v>
      </c>
      <c r="L74" s="231">
        <v>9.8000000000000007</v>
      </c>
      <c r="M74" s="230">
        <v>18040</v>
      </c>
      <c r="N74" s="231">
        <v>5</v>
      </c>
      <c r="O74" s="230">
        <v>107170</v>
      </c>
      <c r="P74" s="231">
        <v>29.8</v>
      </c>
      <c r="Q74" s="230">
        <v>71482</v>
      </c>
      <c r="R74" s="231">
        <v>29.8</v>
      </c>
      <c r="S74" s="230">
        <v>71482</v>
      </c>
      <c r="T74" s="231">
        <v>29.8</v>
      </c>
      <c r="U74" s="230">
        <v>156864</v>
      </c>
      <c r="V74" s="231">
        <v>49</v>
      </c>
      <c r="W74" s="230">
        <v>36408</v>
      </c>
      <c r="X74" s="231">
        <v>10.1</v>
      </c>
      <c r="Y74" s="230">
        <v>24054</v>
      </c>
      <c r="Z74" s="273">
        <v>10</v>
      </c>
    </row>
    <row r="75" spans="1:26" x14ac:dyDescent="0.2">
      <c r="A75" s="699"/>
      <c r="B75" s="272" t="s">
        <v>376</v>
      </c>
      <c r="C75" s="230">
        <v>0</v>
      </c>
      <c r="D75" s="231">
        <v>0</v>
      </c>
      <c r="E75" s="230">
        <v>0</v>
      </c>
      <c r="F75" s="273">
        <v>0</v>
      </c>
      <c r="G75" s="285">
        <v>13572</v>
      </c>
      <c r="H75" s="231">
        <v>45.2</v>
      </c>
      <c r="I75" s="230">
        <v>156600</v>
      </c>
      <c r="J75" s="273">
        <v>43.5</v>
      </c>
      <c r="K75" s="285">
        <v>119244</v>
      </c>
      <c r="L75" s="231">
        <v>49.7</v>
      </c>
      <c r="M75" s="230">
        <v>203537</v>
      </c>
      <c r="N75" s="231">
        <v>56.5</v>
      </c>
      <c r="O75" s="230">
        <v>454117</v>
      </c>
      <c r="P75" s="231">
        <v>126.1</v>
      </c>
      <c r="Q75" s="230">
        <v>265534</v>
      </c>
      <c r="R75" s="231">
        <v>110.6</v>
      </c>
      <c r="S75" s="230">
        <v>184952</v>
      </c>
      <c r="T75" s="231">
        <v>77.099999999999994</v>
      </c>
      <c r="U75" s="230">
        <v>137588</v>
      </c>
      <c r="V75" s="231">
        <v>43</v>
      </c>
      <c r="W75" s="230">
        <v>374400</v>
      </c>
      <c r="X75" s="231">
        <v>104</v>
      </c>
      <c r="Y75" s="230">
        <v>116928</v>
      </c>
      <c r="Z75" s="273">
        <v>48.7</v>
      </c>
    </row>
    <row r="76" spans="1:26" x14ac:dyDescent="0.2">
      <c r="A76" s="699"/>
      <c r="B76" s="272" t="s">
        <v>377</v>
      </c>
      <c r="C76" s="230">
        <v>224</v>
      </c>
      <c r="D76" s="231">
        <v>1.4</v>
      </c>
      <c r="E76" s="230">
        <v>1048</v>
      </c>
      <c r="F76" s="273">
        <v>1.2</v>
      </c>
      <c r="G76" s="285">
        <v>559</v>
      </c>
      <c r="H76" s="231">
        <v>1.9</v>
      </c>
      <c r="I76" s="230">
        <v>8521</v>
      </c>
      <c r="J76" s="273">
        <v>2.4</v>
      </c>
      <c r="K76" s="285">
        <v>4414</v>
      </c>
      <c r="L76" s="231">
        <v>1.8</v>
      </c>
      <c r="M76" s="230">
        <v>9882</v>
      </c>
      <c r="N76" s="231">
        <v>2.7</v>
      </c>
      <c r="O76" s="230">
        <v>12064</v>
      </c>
      <c r="P76" s="231">
        <v>3.4</v>
      </c>
      <c r="Q76" s="230">
        <v>3400</v>
      </c>
      <c r="R76" s="231">
        <v>1.4</v>
      </c>
      <c r="S76" s="230">
        <v>6871</v>
      </c>
      <c r="T76" s="231">
        <v>2.9</v>
      </c>
      <c r="U76" s="230">
        <v>6242</v>
      </c>
      <c r="V76" s="231">
        <v>2</v>
      </c>
      <c r="W76" s="230">
        <v>13769</v>
      </c>
      <c r="X76" s="231">
        <v>3.8</v>
      </c>
      <c r="Y76" s="230">
        <v>6753</v>
      </c>
      <c r="Z76" s="273">
        <v>2.8</v>
      </c>
    </row>
    <row r="77" spans="1:26" x14ac:dyDescent="0.2">
      <c r="A77" s="699"/>
      <c r="B77" s="272" t="s">
        <v>378</v>
      </c>
      <c r="C77" s="230">
        <v>2164</v>
      </c>
      <c r="D77" s="231">
        <v>13.5</v>
      </c>
      <c r="E77" s="230">
        <v>12175</v>
      </c>
      <c r="F77" s="273">
        <v>13.5</v>
      </c>
      <c r="G77" s="285">
        <v>15269</v>
      </c>
      <c r="H77" s="231">
        <v>50.9</v>
      </c>
      <c r="I77" s="230">
        <v>211453</v>
      </c>
      <c r="J77" s="273">
        <v>58.7</v>
      </c>
      <c r="K77" s="285">
        <v>125759</v>
      </c>
      <c r="L77" s="231">
        <v>52.4</v>
      </c>
      <c r="M77" s="230">
        <v>211453</v>
      </c>
      <c r="N77" s="231">
        <v>58.7</v>
      </c>
      <c r="O77" s="230">
        <v>374581</v>
      </c>
      <c r="P77" s="231">
        <v>104.1</v>
      </c>
      <c r="Q77" s="230">
        <v>249557</v>
      </c>
      <c r="R77" s="231">
        <v>104</v>
      </c>
      <c r="S77" s="230">
        <v>249557</v>
      </c>
      <c r="T77" s="231">
        <v>104</v>
      </c>
      <c r="U77" s="230">
        <v>154800</v>
      </c>
      <c r="V77" s="231">
        <v>48.4</v>
      </c>
      <c r="W77" s="230">
        <v>473873</v>
      </c>
      <c r="X77" s="231">
        <v>131.6</v>
      </c>
      <c r="Y77" s="230">
        <v>131544</v>
      </c>
      <c r="Z77" s="273">
        <v>54.8</v>
      </c>
    </row>
    <row r="78" spans="1:26" x14ac:dyDescent="0.2">
      <c r="A78" s="699"/>
      <c r="B78" s="272" t="s">
        <v>379</v>
      </c>
      <c r="C78" s="230">
        <v>3329</v>
      </c>
      <c r="D78" s="231">
        <v>20.8</v>
      </c>
      <c r="E78" s="230">
        <v>18727</v>
      </c>
      <c r="F78" s="273">
        <v>20.8</v>
      </c>
      <c r="G78" s="285">
        <v>2036</v>
      </c>
      <c r="H78" s="231">
        <v>6.8</v>
      </c>
      <c r="I78" s="230">
        <v>155070</v>
      </c>
      <c r="J78" s="273">
        <v>43.1</v>
      </c>
      <c r="K78" s="285">
        <v>40248</v>
      </c>
      <c r="L78" s="231">
        <v>16.8</v>
      </c>
      <c r="M78" s="230">
        <v>155070</v>
      </c>
      <c r="N78" s="231">
        <v>43.1</v>
      </c>
      <c r="O78" s="230">
        <v>199728</v>
      </c>
      <c r="P78" s="231">
        <v>55.5</v>
      </c>
      <c r="Q78" s="230">
        <v>66576</v>
      </c>
      <c r="R78" s="231">
        <v>27.7</v>
      </c>
      <c r="S78" s="230">
        <v>16644</v>
      </c>
      <c r="T78" s="231">
        <v>6.9</v>
      </c>
      <c r="U78" s="230">
        <v>10320</v>
      </c>
      <c r="V78" s="231">
        <v>3.2</v>
      </c>
      <c r="W78" s="230">
        <v>16848</v>
      </c>
      <c r="X78" s="231">
        <v>4.7</v>
      </c>
      <c r="Y78" s="230">
        <v>8770</v>
      </c>
      <c r="Z78" s="273">
        <v>3.7</v>
      </c>
    </row>
    <row r="79" spans="1:26" x14ac:dyDescent="0.2">
      <c r="A79" s="699"/>
      <c r="B79" s="272" t="s">
        <v>380</v>
      </c>
      <c r="C79" s="230">
        <v>0</v>
      </c>
      <c r="D79" s="231">
        <v>0</v>
      </c>
      <c r="E79" s="235">
        <v>0</v>
      </c>
      <c r="F79" s="273">
        <v>0</v>
      </c>
      <c r="G79" s="285">
        <v>0</v>
      </c>
      <c r="H79" s="231">
        <v>0</v>
      </c>
      <c r="I79" s="230">
        <v>0</v>
      </c>
      <c r="J79" s="273">
        <v>0</v>
      </c>
      <c r="K79" s="285">
        <v>0</v>
      </c>
      <c r="L79" s="231">
        <v>0</v>
      </c>
      <c r="M79" s="230">
        <v>0</v>
      </c>
      <c r="N79" s="231">
        <v>0</v>
      </c>
      <c r="O79" s="230">
        <v>0</v>
      </c>
      <c r="P79" s="231">
        <v>0</v>
      </c>
      <c r="Q79" s="230">
        <v>0</v>
      </c>
      <c r="R79" s="231">
        <v>0</v>
      </c>
      <c r="S79" s="230">
        <v>0</v>
      </c>
      <c r="T79" s="231">
        <v>0</v>
      </c>
      <c r="U79" s="230">
        <v>0</v>
      </c>
      <c r="V79" s="231">
        <v>0</v>
      </c>
      <c r="W79" s="230">
        <v>0</v>
      </c>
      <c r="X79" s="231">
        <v>0</v>
      </c>
      <c r="Y79" s="230">
        <v>0</v>
      </c>
      <c r="Z79" s="273">
        <v>0</v>
      </c>
    </row>
    <row r="80" spans="1:26" x14ac:dyDescent="0.2">
      <c r="A80" s="699"/>
      <c r="B80" s="272" t="s">
        <v>381</v>
      </c>
      <c r="C80" s="230">
        <v>0</v>
      </c>
      <c r="D80" s="231">
        <v>0</v>
      </c>
      <c r="E80" s="235">
        <v>0</v>
      </c>
      <c r="F80" s="273">
        <v>0</v>
      </c>
      <c r="G80" s="285">
        <v>0</v>
      </c>
      <c r="H80" s="231">
        <v>0</v>
      </c>
      <c r="I80" s="230">
        <v>27840</v>
      </c>
      <c r="J80" s="273">
        <v>7.7</v>
      </c>
      <c r="K80" s="285">
        <v>0</v>
      </c>
      <c r="L80" s="231">
        <v>0</v>
      </c>
      <c r="M80" s="230">
        <v>35848</v>
      </c>
      <c r="N80" s="231">
        <v>10</v>
      </c>
      <c r="O80" s="230">
        <v>68351</v>
      </c>
      <c r="P80" s="231">
        <v>19</v>
      </c>
      <c r="Q80" s="230">
        <v>0</v>
      </c>
      <c r="R80" s="231">
        <v>0</v>
      </c>
      <c r="S80" s="230">
        <v>29653</v>
      </c>
      <c r="T80" s="231">
        <v>12.4</v>
      </c>
      <c r="U80" s="230">
        <v>0</v>
      </c>
      <c r="V80" s="231">
        <v>0</v>
      </c>
      <c r="W80" s="230">
        <v>70164</v>
      </c>
      <c r="X80" s="231">
        <v>19.5</v>
      </c>
      <c r="Y80" s="230">
        <v>22221</v>
      </c>
      <c r="Z80" s="273">
        <v>9.3000000000000007</v>
      </c>
    </row>
    <row r="81" spans="1:26" s="20" customFormat="1" x14ac:dyDescent="0.2">
      <c r="A81" s="699"/>
      <c r="B81" s="274" t="s">
        <v>382</v>
      </c>
      <c r="C81" s="275">
        <v>70599</v>
      </c>
      <c r="D81" s="276">
        <v>441.2</v>
      </c>
      <c r="E81" s="277">
        <v>333691</v>
      </c>
      <c r="F81" s="287">
        <v>370.8</v>
      </c>
      <c r="G81" s="286">
        <v>151257</v>
      </c>
      <c r="H81" s="276">
        <v>504.2</v>
      </c>
      <c r="I81" s="275">
        <v>1404147</v>
      </c>
      <c r="J81" s="279">
        <v>390</v>
      </c>
      <c r="K81" s="286">
        <v>1008880</v>
      </c>
      <c r="L81" s="276">
        <v>420.4</v>
      </c>
      <c r="M81" s="275">
        <v>1589869</v>
      </c>
      <c r="N81" s="276">
        <v>441.6</v>
      </c>
      <c r="O81" s="275">
        <v>2778697</v>
      </c>
      <c r="P81" s="276">
        <v>771.9</v>
      </c>
      <c r="Q81" s="275">
        <v>1503004</v>
      </c>
      <c r="R81" s="276">
        <v>626.29999999999995</v>
      </c>
      <c r="S81" s="275">
        <v>1421701</v>
      </c>
      <c r="T81" s="276">
        <v>592.4</v>
      </c>
      <c r="U81" s="275">
        <v>1811839</v>
      </c>
      <c r="V81" s="276">
        <v>566.20000000000005</v>
      </c>
      <c r="W81" s="275">
        <v>2249110</v>
      </c>
      <c r="X81" s="276">
        <v>624.79999999999995</v>
      </c>
      <c r="Y81" s="275">
        <v>1111533</v>
      </c>
      <c r="Z81" s="279">
        <v>463.1</v>
      </c>
    </row>
    <row r="82" spans="1:26" s="216" customFormat="1" x14ac:dyDescent="0.2">
      <c r="A82" s="699"/>
      <c r="B82" s="283" t="s">
        <v>491</v>
      </c>
      <c r="C82" s="289" t="s">
        <v>372</v>
      </c>
      <c r="D82" s="291" t="s">
        <v>397</v>
      </c>
      <c r="E82" s="289" t="s">
        <v>372</v>
      </c>
      <c r="F82" s="291" t="s">
        <v>397</v>
      </c>
      <c r="G82" s="289" t="s">
        <v>372</v>
      </c>
      <c r="H82" s="291" t="s">
        <v>397</v>
      </c>
      <c r="I82" s="289" t="s">
        <v>372</v>
      </c>
      <c r="J82" s="291" t="s">
        <v>397</v>
      </c>
      <c r="K82" s="289" t="s">
        <v>372</v>
      </c>
      <c r="L82" s="291" t="s">
        <v>397</v>
      </c>
      <c r="M82" s="289" t="s">
        <v>372</v>
      </c>
      <c r="N82" s="291" t="s">
        <v>397</v>
      </c>
      <c r="O82" s="289" t="s">
        <v>372</v>
      </c>
      <c r="P82" s="291" t="s">
        <v>397</v>
      </c>
      <c r="Q82" s="289" t="s">
        <v>372</v>
      </c>
      <c r="R82" s="291" t="s">
        <v>397</v>
      </c>
      <c r="S82" s="289" t="s">
        <v>372</v>
      </c>
      <c r="T82" s="291" t="s">
        <v>397</v>
      </c>
      <c r="U82" s="289" t="s">
        <v>372</v>
      </c>
      <c r="V82" s="291" t="s">
        <v>397</v>
      </c>
      <c r="W82" s="289" t="s">
        <v>372</v>
      </c>
      <c r="X82" s="291" t="s">
        <v>397</v>
      </c>
      <c r="Y82" s="289" t="s">
        <v>372</v>
      </c>
      <c r="Z82" s="291" t="s">
        <v>397</v>
      </c>
    </row>
    <row r="83" spans="1:26" x14ac:dyDescent="0.2">
      <c r="A83" s="699"/>
      <c r="B83" s="272" t="s">
        <v>373</v>
      </c>
      <c r="C83" s="230">
        <f>C$6-C72</f>
        <v>5230</v>
      </c>
      <c r="D83" s="293">
        <f t="shared" ref="D83:Z83" si="20">D$6-D72</f>
        <v>32.699999999999989</v>
      </c>
      <c r="E83" s="230">
        <f t="shared" si="20"/>
        <v>17391</v>
      </c>
      <c r="F83" s="293">
        <f t="shared" si="20"/>
        <v>19.300000000000011</v>
      </c>
      <c r="G83" s="230">
        <f t="shared" si="20"/>
        <v>20466</v>
      </c>
      <c r="H83" s="293">
        <f t="shared" si="20"/>
        <v>68.199999999999989</v>
      </c>
      <c r="I83" s="230">
        <f t="shared" si="20"/>
        <v>86276</v>
      </c>
      <c r="J83" s="293">
        <f t="shared" si="20"/>
        <v>24</v>
      </c>
      <c r="K83" s="230">
        <f t="shared" si="20"/>
        <v>79830</v>
      </c>
      <c r="L83" s="293">
        <f t="shared" si="20"/>
        <v>33.299999999999983</v>
      </c>
      <c r="M83" s="230">
        <f t="shared" si="20"/>
        <v>87966</v>
      </c>
      <c r="N83" s="293">
        <f t="shared" si="20"/>
        <v>24.5</v>
      </c>
      <c r="O83" s="230">
        <f t="shared" si="20"/>
        <v>92993</v>
      </c>
      <c r="P83" s="293">
        <f t="shared" si="20"/>
        <v>25.800000000000011</v>
      </c>
      <c r="Q83" s="230">
        <f t="shared" si="20"/>
        <v>89493</v>
      </c>
      <c r="R83" s="293">
        <f t="shared" si="20"/>
        <v>37.299999999999983</v>
      </c>
      <c r="S83" s="230">
        <f t="shared" si="20"/>
        <v>87690</v>
      </c>
      <c r="T83" s="293">
        <f t="shared" si="20"/>
        <v>36.500000000000028</v>
      </c>
      <c r="U83" s="230">
        <f t="shared" si="20"/>
        <v>174598</v>
      </c>
      <c r="V83" s="293">
        <f t="shared" si="20"/>
        <v>54.599999999999966</v>
      </c>
      <c r="W83" s="230">
        <f t="shared" si="20"/>
        <v>91649</v>
      </c>
      <c r="X83" s="293">
        <f t="shared" si="20"/>
        <v>25.400000000000006</v>
      </c>
      <c r="Y83" s="230">
        <f t="shared" si="20"/>
        <v>89676</v>
      </c>
      <c r="Z83" s="293">
        <f t="shared" si="20"/>
        <v>37.399999999999977</v>
      </c>
    </row>
    <row r="84" spans="1:26" x14ac:dyDescent="0.2">
      <c r="A84" s="699"/>
      <c r="B84" s="272" t="s">
        <v>374</v>
      </c>
      <c r="C84" s="230">
        <f t="shared" ref="C84:Z84" si="21">C$7-C73</f>
        <v>0</v>
      </c>
      <c r="D84" s="293">
        <f t="shared" si="21"/>
        <v>0</v>
      </c>
      <c r="E84" s="230">
        <f t="shared" si="21"/>
        <v>0</v>
      </c>
      <c r="F84" s="293">
        <f t="shared" si="21"/>
        <v>0</v>
      </c>
      <c r="G84" s="230">
        <f t="shared" si="21"/>
        <v>33</v>
      </c>
      <c r="H84" s="293">
        <f t="shared" si="21"/>
        <v>9.9999999999994316E-2</v>
      </c>
      <c r="I84" s="230">
        <f t="shared" si="21"/>
        <v>426</v>
      </c>
      <c r="J84" s="293">
        <f t="shared" si="21"/>
        <v>0.10000000000000142</v>
      </c>
      <c r="K84" s="230">
        <f t="shared" si="21"/>
        <v>486</v>
      </c>
      <c r="L84" s="293">
        <f t="shared" si="21"/>
        <v>0.20000000000000284</v>
      </c>
      <c r="M84" s="230">
        <f t="shared" si="21"/>
        <v>301</v>
      </c>
      <c r="N84" s="293">
        <f t="shared" si="21"/>
        <v>0.10000000000000853</v>
      </c>
      <c r="O84" s="230">
        <f t="shared" si="21"/>
        <v>113</v>
      </c>
      <c r="P84" s="293">
        <f t="shared" si="21"/>
        <v>0</v>
      </c>
      <c r="Q84" s="230">
        <f t="shared" si="21"/>
        <v>840</v>
      </c>
      <c r="R84" s="293">
        <f t="shared" si="21"/>
        <v>0.40000000000000568</v>
      </c>
      <c r="S84" s="230">
        <f t="shared" si="21"/>
        <v>30</v>
      </c>
      <c r="T84" s="293">
        <f t="shared" si="21"/>
        <v>0</v>
      </c>
      <c r="U84" s="230">
        <f t="shared" si="21"/>
        <v>403</v>
      </c>
      <c r="V84" s="293">
        <f t="shared" si="21"/>
        <v>0.10000000000000853</v>
      </c>
      <c r="W84" s="230">
        <f t="shared" si="21"/>
        <v>326</v>
      </c>
      <c r="X84" s="293">
        <f t="shared" si="21"/>
        <v>9.9999999999994316E-2</v>
      </c>
      <c r="Y84" s="230">
        <f t="shared" si="21"/>
        <v>2</v>
      </c>
      <c r="Z84" s="293">
        <f t="shared" si="21"/>
        <v>0</v>
      </c>
    </row>
    <row r="85" spans="1:26" x14ac:dyDescent="0.2">
      <c r="A85" s="699"/>
      <c r="B85" s="272" t="s">
        <v>375</v>
      </c>
      <c r="C85" s="230">
        <f>C$8-C74</f>
        <v>0</v>
      </c>
      <c r="D85" s="293">
        <f t="shared" ref="D85:Z85" si="22">D$8-D74</f>
        <v>0</v>
      </c>
      <c r="E85" s="230">
        <f t="shared" si="22"/>
        <v>0</v>
      </c>
      <c r="F85" s="293">
        <f t="shared" si="22"/>
        <v>0</v>
      </c>
      <c r="G85" s="230">
        <f t="shared" si="22"/>
        <v>0</v>
      </c>
      <c r="H85" s="293">
        <f t="shared" si="22"/>
        <v>0</v>
      </c>
      <c r="I85" s="230">
        <f t="shared" si="22"/>
        <v>0</v>
      </c>
      <c r="J85" s="293">
        <f t="shared" si="22"/>
        <v>0</v>
      </c>
      <c r="K85" s="230">
        <f t="shared" si="22"/>
        <v>0</v>
      </c>
      <c r="L85" s="293">
        <f t="shared" si="22"/>
        <v>0</v>
      </c>
      <c r="M85" s="230">
        <f t="shared" si="22"/>
        <v>0</v>
      </c>
      <c r="N85" s="293">
        <f t="shared" si="22"/>
        <v>0</v>
      </c>
      <c r="O85" s="230">
        <f t="shared" si="22"/>
        <v>0</v>
      </c>
      <c r="P85" s="293">
        <f t="shared" si="22"/>
        <v>0</v>
      </c>
      <c r="Q85" s="230">
        <f t="shared" si="22"/>
        <v>0</v>
      </c>
      <c r="R85" s="293">
        <f t="shared" si="22"/>
        <v>0</v>
      </c>
      <c r="S85" s="230">
        <f t="shared" si="22"/>
        <v>0</v>
      </c>
      <c r="T85" s="293">
        <f t="shared" si="22"/>
        <v>0</v>
      </c>
      <c r="U85" s="230">
        <f t="shared" si="22"/>
        <v>0</v>
      </c>
      <c r="V85" s="293">
        <f t="shared" si="22"/>
        <v>0</v>
      </c>
      <c r="W85" s="230">
        <f t="shared" si="22"/>
        <v>0</v>
      </c>
      <c r="X85" s="293">
        <f t="shared" si="22"/>
        <v>0</v>
      </c>
      <c r="Y85" s="230">
        <f t="shared" si="22"/>
        <v>0</v>
      </c>
      <c r="Z85" s="293">
        <f t="shared" si="22"/>
        <v>0</v>
      </c>
    </row>
    <row r="86" spans="1:26" x14ac:dyDescent="0.2">
      <c r="A86" s="699"/>
      <c r="B86" s="272" t="s">
        <v>376</v>
      </c>
      <c r="C86" s="230">
        <f t="shared" ref="C86:Z86" si="23">C$9-C75</f>
        <v>0</v>
      </c>
      <c r="D86" s="293">
        <f t="shared" si="23"/>
        <v>0</v>
      </c>
      <c r="E86" s="230">
        <f t="shared" si="23"/>
        <v>0</v>
      </c>
      <c r="F86" s="293">
        <f t="shared" si="23"/>
        <v>0</v>
      </c>
      <c r="G86" s="230">
        <f t="shared" si="23"/>
        <v>0</v>
      </c>
      <c r="H86" s="293">
        <f t="shared" si="23"/>
        <v>0</v>
      </c>
      <c r="I86" s="230">
        <f t="shared" si="23"/>
        <v>0</v>
      </c>
      <c r="J86" s="293">
        <f t="shared" si="23"/>
        <v>0</v>
      </c>
      <c r="K86" s="230">
        <f t="shared" si="23"/>
        <v>0</v>
      </c>
      <c r="L86" s="293">
        <f t="shared" si="23"/>
        <v>0</v>
      </c>
      <c r="M86" s="230">
        <f t="shared" si="23"/>
        <v>0</v>
      </c>
      <c r="N86" s="293">
        <f t="shared" si="23"/>
        <v>0</v>
      </c>
      <c r="O86" s="230">
        <f t="shared" si="23"/>
        <v>0</v>
      </c>
      <c r="P86" s="293">
        <f t="shared" si="23"/>
        <v>0</v>
      </c>
      <c r="Q86" s="230">
        <f t="shared" si="23"/>
        <v>0</v>
      </c>
      <c r="R86" s="293">
        <f t="shared" si="23"/>
        <v>0</v>
      </c>
      <c r="S86" s="230">
        <f t="shared" si="23"/>
        <v>0</v>
      </c>
      <c r="T86" s="293">
        <f t="shared" si="23"/>
        <v>0</v>
      </c>
      <c r="U86" s="230">
        <f t="shared" si="23"/>
        <v>0</v>
      </c>
      <c r="V86" s="293">
        <f t="shared" si="23"/>
        <v>0</v>
      </c>
      <c r="W86" s="230">
        <f t="shared" si="23"/>
        <v>0</v>
      </c>
      <c r="X86" s="293">
        <f t="shared" si="23"/>
        <v>0</v>
      </c>
      <c r="Y86" s="230">
        <f t="shared" si="23"/>
        <v>0</v>
      </c>
      <c r="Z86" s="293">
        <f t="shared" si="23"/>
        <v>0</v>
      </c>
    </row>
    <row r="87" spans="1:26" x14ac:dyDescent="0.2">
      <c r="A87" s="699"/>
      <c r="B87" s="272" t="s">
        <v>377</v>
      </c>
      <c r="C87" s="230">
        <f t="shared" ref="C87:Z87" si="24">C$10-C76</f>
        <v>8</v>
      </c>
      <c r="D87" s="293">
        <f t="shared" si="24"/>
        <v>0</v>
      </c>
      <c r="E87" s="230">
        <f t="shared" si="24"/>
        <v>54</v>
      </c>
      <c r="F87" s="293">
        <f t="shared" si="24"/>
        <v>0</v>
      </c>
      <c r="G87" s="230">
        <f t="shared" si="24"/>
        <v>26</v>
      </c>
      <c r="H87" s="293">
        <f t="shared" si="24"/>
        <v>0.10000000000000009</v>
      </c>
      <c r="I87" s="230">
        <f t="shared" si="24"/>
        <v>261</v>
      </c>
      <c r="J87" s="293">
        <f t="shared" si="24"/>
        <v>0</v>
      </c>
      <c r="K87" s="230">
        <f t="shared" si="24"/>
        <v>221</v>
      </c>
      <c r="L87" s="293">
        <f t="shared" si="24"/>
        <v>9.9999999999999867E-2</v>
      </c>
      <c r="M87" s="230">
        <f t="shared" si="24"/>
        <v>155</v>
      </c>
      <c r="N87" s="293">
        <f t="shared" si="24"/>
        <v>9.9999999999999645E-2</v>
      </c>
      <c r="O87" s="230">
        <f t="shared" si="24"/>
        <v>172</v>
      </c>
      <c r="P87" s="293">
        <f t="shared" si="24"/>
        <v>0</v>
      </c>
      <c r="Q87" s="230">
        <f t="shared" si="24"/>
        <v>279</v>
      </c>
      <c r="R87" s="293">
        <f t="shared" si="24"/>
        <v>0.10000000000000009</v>
      </c>
      <c r="S87" s="230">
        <f t="shared" si="24"/>
        <v>253</v>
      </c>
      <c r="T87" s="293">
        <f t="shared" si="24"/>
        <v>0.10000000000000009</v>
      </c>
      <c r="U87" s="230">
        <f t="shared" si="24"/>
        <v>0</v>
      </c>
      <c r="V87" s="293">
        <f t="shared" si="24"/>
        <v>0</v>
      </c>
      <c r="W87" s="230">
        <f t="shared" si="24"/>
        <v>266</v>
      </c>
      <c r="X87" s="293">
        <f t="shared" si="24"/>
        <v>0.10000000000000009</v>
      </c>
      <c r="Y87" s="230">
        <f t="shared" si="24"/>
        <v>227</v>
      </c>
      <c r="Z87" s="293">
        <f t="shared" si="24"/>
        <v>0.10000000000000009</v>
      </c>
    </row>
    <row r="88" spans="1:26" x14ac:dyDescent="0.2">
      <c r="A88" s="699"/>
      <c r="B88" s="272" t="s">
        <v>378</v>
      </c>
      <c r="C88" s="230">
        <f t="shared" ref="C88:Z88" si="25">C$11-C77</f>
        <v>0</v>
      </c>
      <c r="D88" s="293">
        <f t="shared" si="25"/>
        <v>0</v>
      </c>
      <c r="E88" s="230">
        <f t="shared" si="25"/>
        <v>0</v>
      </c>
      <c r="F88" s="293">
        <f t="shared" si="25"/>
        <v>0</v>
      </c>
      <c r="G88" s="230">
        <f t="shared" si="25"/>
        <v>0</v>
      </c>
      <c r="H88" s="293">
        <f t="shared" si="25"/>
        <v>0</v>
      </c>
      <c r="I88" s="230">
        <f t="shared" si="25"/>
        <v>0</v>
      </c>
      <c r="J88" s="293">
        <f t="shared" si="25"/>
        <v>0</v>
      </c>
      <c r="K88" s="230">
        <f t="shared" si="25"/>
        <v>0</v>
      </c>
      <c r="L88" s="293">
        <f t="shared" si="25"/>
        <v>0</v>
      </c>
      <c r="M88" s="230">
        <f t="shared" si="25"/>
        <v>0</v>
      </c>
      <c r="N88" s="293">
        <f t="shared" si="25"/>
        <v>0</v>
      </c>
      <c r="O88" s="230">
        <f t="shared" si="25"/>
        <v>0</v>
      </c>
      <c r="P88" s="293">
        <f t="shared" si="25"/>
        <v>0</v>
      </c>
      <c r="Q88" s="230">
        <f t="shared" si="25"/>
        <v>0</v>
      </c>
      <c r="R88" s="293">
        <f t="shared" si="25"/>
        <v>0</v>
      </c>
      <c r="S88" s="230">
        <f t="shared" si="25"/>
        <v>0</v>
      </c>
      <c r="T88" s="293">
        <f t="shared" si="25"/>
        <v>0</v>
      </c>
      <c r="U88" s="230">
        <f t="shared" si="25"/>
        <v>0</v>
      </c>
      <c r="V88" s="293">
        <f t="shared" si="25"/>
        <v>0</v>
      </c>
      <c r="W88" s="230">
        <f t="shared" si="25"/>
        <v>0</v>
      </c>
      <c r="X88" s="293">
        <f t="shared" si="25"/>
        <v>0</v>
      </c>
      <c r="Y88" s="230">
        <f t="shared" si="25"/>
        <v>0</v>
      </c>
      <c r="Z88" s="293">
        <f t="shared" si="25"/>
        <v>0</v>
      </c>
    </row>
    <row r="89" spans="1:26" x14ac:dyDescent="0.2">
      <c r="A89" s="699"/>
      <c r="B89" s="272" t="s">
        <v>379</v>
      </c>
      <c r="C89" s="230">
        <f t="shared" ref="C89:Z89" si="26">C$12-C78</f>
        <v>0</v>
      </c>
      <c r="D89" s="293">
        <f t="shared" si="26"/>
        <v>0</v>
      </c>
      <c r="E89" s="230">
        <f t="shared" si="26"/>
        <v>0</v>
      </c>
      <c r="F89" s="293">
        <f t="shared" si="26"/>
        <v>0</v>
      </c>
      <c r="G89" s="230">
        <f t="shared" si="26"/>
        <v>0</v>
      </c>
      <c r="H89" s="293">
        <f t="shared" si="26"/>
        <v>0</v>
      </c>
      <c r="I89" s="230">
        <f t="shared" si="26"/>
        <v>0</v>
      </c>
      <c r="J89" s="293">
        <f t="shared" si="26"/>
        <v>0</v>
      </c>
      <c r="K89" s="230">
        <f t="shared" si="26"/>
        <v>0</v>
      </c>
      <c r="L89" s="293">
        <f t="shared" si="26"/>
        <v>0</v>
      </c>
      <c r="M89" s="230">
        <f t="shared" si="26"/>
        <v>0</v>
      </c>
      <c r="N89" s="293">
        <f t="shared" si="26"/>
        <v>0</v>
      </c>
      <c r="O89" s="230">
        <f t="shared" si="26"/>
        <v>0</v>
      </c>
      <c r="P89" s="293">
        <f t="shared" si="26"/>
        <v>0</v>
      </c>
      <c r="Q89" s="230">
        <f t="shared" si="26"/>
        <v>0</v>
      </c>
      <c r="R89" s="293">
        <f t="shared" si="26"/>
        <v>0</v>
      </c>
      <c r="S89" s="230">
        <f t="shared" si="26"/>
        <v>0</v>
      </c>
      <c r="T89" s="293">
        <f t="shared" si="26"/>
        <v>0</v>
      </c>
      <c r="U89" s="230">
        <f t="shared" si="26"/>
        <v>0</v>
      </c>
      <c r="V89" s="293">
        <f t="shared" si="26"/>
        <v>0</v>
      </c>
      <c r="W89" s="230">
        <f t="shared" si="26"/>
        <v>0</v>
      </c>
      <c r="X89" s="293">
        <f t="shared" si="26"/>
        <v>0</v>
      </c>
      <c r="Y89" s="230">
        <f t="shared" si="26"/>
        <v>0</v>
      </c>
      <c r="Z89" s="293">
        <f t="shared" si="26"/>
        <v>0</v>
      </c>
    </row>
    <row r="90" spans="1:26" x14ac:dyDescent="0.2">
      <c r="A90" s="699"/>
      <c r="B90" s="272" t="s">
        <v>380</v>
      </c>
      <c r="C90" s="230">
        <f t="shared" ref="C90:Z90" si="27">C$13-C79</f>
        <v>0</v>
      </c>
      <c r="D90" s="293">
        <f t="shared" si="27"/>
        <v>0</v>
      </c>
      <c r="E90" s="230">
        <f t="shared" si="27"/>
        <v>0</v>
      </c>
      <c r="F90" s="293">
        <f t="shared" si="27"/>
        <v>0</v>
      </c>
      <c r="G90" s="230">
        <f t="shared" si="27"/>
        <v>0</v>
      </c>
      <c r="H90" s="293">
        <f t="shared" si="27"/>
        <v>0</v>
      </c>
      <c r="I90" s="230">
        <f t="shared" si="27"/>
        <v>0</v>
      </c>
      <c r="J90" s="293">
        <f t="shared" si="27"/>
        <v>0</v>
      </c>
      <c r="K90" s="230">
        <f t="shared" si="27"/>
        <v>0</v>
      </c>
      <c r="L90" s="293">
        <f t="shared" si="27"/>
        <v>0</v>
      </c>
      <c r="M90" s="230">
        <f t="shared" si="27"/>
        <v>0</v>
      </c>
      <c r="N90" s="293">
        <f t="shared" si="27"/>
        <v>0</v>
      </c>
      <c r="O90" s="230">
        <f t="shared" si="27"/>
        <v>0</v>
      </c>
      <c r="P90" s="293">
        <f t="shared" si="27"/>
        <v>0</v>
      </c>
      <c r="Q90" s="230">
        <f t="shared" si="27"/>
        <v>0</v>
      </c>
      <c r="R90" s="293">
        <f t="shared" si="27"/>
        <v>0</v>
      </c>
      <c r="S90" s="230">
        <f t="shared" si="27"/>
        <v>0</v>
      </c>
      <c r="T90" s="293">
        <f t="shared" si="27"/>
        <v>0</v>
      </c>
      <c r="U90" s="230">
        <f t="shared" si="27"/>
        <v>0</v>
      </c>
      <c r="V90" s="293">
        <f t="shared" si="27"/>
        <v>0</v>
      </c>
      <c r="W90" s="230">
        <f t="shared" si="27"/>
        <v>0</v>
      </c>
      <c r="X90" s="293">
        <f t="shared" si="27"/>
        <v>0</v>
      </c>
      <c r="Y90" s="230">
        <f t="shared" si="27"/>
        <v>0</v>
      </c>
      <c r="Z90" s="293">
        <f t="shared" si="27"/>
        <v>0</v>
      </c>
    </row>
    <row r="91" spans="1:26" x14ac:dyDescent="0.2">
      <c r="A91" s="699"/>
      <c r="B91" s="272" t="s">
        <v>381</v>
      </c>
      <c r="C91" s="230">
        <f t="shared" ref="C91:Z91" si="28">C$14-C80</f>
        <v>0</v>
      </c>
      <c r="D91" s="293">
        <f t="shared" si="28"/>
        <v>0</v>
      </c>
      <c r="E91" s="230">
        <f t="shared" si="28"/>
        <v>0</v>
      </c>
      <c r="F91" s="293">
        <f t="shared" si="28"/>
        <v>0</v>
      </c>
      <c r="G91" s="230">
        <f t="shared" si="28"/>
        <v>0</v>
      </c>
      <c r="H91" s="293">
        <f t="shared" si="28"/>
        <v>0</v>
      </c>
      <c r="I91" s="230">
        <f t="shared" si="28"/>
        <v>0</v>
      </c>
      <c r="J91" s="293">
        <f t="shared" si="28"/>
        <v>0</v>
      </c>
      <c r="K91" s="230">
        <f t="shared" si="28"/>
        <v>0</v>
      </c>
      <c r="L91" s="293">
        <f t="shared" si="28"/>
        <v>0</v>
      </c>
      <c r="M91" s="230">
        <f t="shared" si="28"/>
        <v>0</v>
      </c>
      <c r="N91" s="293">
        <f t="shared" si="28"/>
        <v>0</v>
      </c>
      <c r="O91" s="230">
        <f t="shared" si="28"/>
        <v>0</v>
      </c>
      <c r="P91" s="293">
        <f t="shared" si="28"/>
        <v>0</v>
      </c>
      <c r="Q91" s="230">
        <f t="shared" si="28"/>
        <v>0</v>
      </c>
      <c r="R91" s="293">
        <f t="shared" si="28"/>
        <v>0</v>
      </c>
      <c r="S91" s="230">
        <f t="shared" si="28"/>
        <v>0</v>
      </c>
      <c r="T91" s="293">
        <f t="shared" si="28"/>
        <v>0</v>
      </c>
      <c r="U91" s="230">
        <f t="shared" si="28"/>
        <v>0</v>
      </c>
      <c r="V91" s="293">
        <f t="shared" si="28"/>
        <v>0</v>
      </c>
      <c r="W91" s="230">
        <f t="shared" si="28"/>
        <v>0</v>
      </c>
      <c r="X91" s="293">
        <f t="shared" si="28"/>
        <v>0</v>
      </c>
      <c r="Y91" s="230">
        <f t="shared" si="28"/>
        <v>0</v>
      </c>
      <c r="Z91" s="293">
        <f t="shared" si="28"/>
        <v>0</v>
      </c>
    </row>
    <row r="92" spans="1:26" s="20" customFormat="1" x14ac:dyDescent="0.2">
      <c r="A92" s="700"/>
      <c r="B92" s="274" t="s">
        <v>382</v>
      </c>
      <c r="C92" s="275">
        <f t="shared" ref="C92:Z92" si="29">C$15-C81</f>
        <v>5238</v>
      </c>
      <c r="D92" s="294">
        <f t="shared" si="29"/>
        <v>32.800000000000011</v>
      </c>
      <c r="E92" s="275">
        <f t="shared" si="29"/>
        <v>17444</v>
      </c>
      <c r="F92" s="294">
        <f t="shared" si="29"/>
        <v>19.399999999999977</v>
      </c>
      <c r="G92" s="275">
        <f t="shared" si="29"/>
        <v>20526</v>
      </c>
      <c r="H92" s="294">
        <f t="shared" si="29"/>
        <v>68.400000000000034</v>
      </c>
      <c r="I92" s="275">
        <f t="shared" si="29"/>
        <v>86963</v>
      </c>
      <c r="J92" s="294">
        <f t="shared" si="29"/>
        <v>24.199999999999989</v>
      </c>
      <c r="K92" s="275">
        <f t="shared" si="29"/>
        <v>80536</v>
      </c>
      <c r="L92" s="294">
        <f t="shared" si="29"/>
        <v>33.5</v>
      </c>
      <c r="M92" s="275">
        <f t="shared" si="29"/>
        <v>88423</v>
      </c>
      <c r="N92" s="294">
        <f t="shared" si="29"/>
        <v>24.599999999999966</v>
      </c>
      <c r="O92" s="275">
        <f t="shared" si="29"/>
        <v>93278</v>
      </c>
      <c r="P92" s="294">
        <f t="shared" si="29"/>
        <v>25.899999999999977</v>
      </c>
      <c r="Q92" s="275">
        <f t="shared" si="29"/>
        <v>90613</v>
      </c>
      <c r="R92" s="294">
        <f t="shared" si="29"/>
        <v>37.700000000000045</v>
      </c>
      <c r="S92" s="275">
        <f t="shared" si="29"/>
        <v>87971</v>
      </c>
      <c r="T92" s="294">
        <f t="shared" si="29"/>
        <v>36.600000000000023</v>
      </c>
      <c r="U92" s="275">
        <f t="shared" si="29"/>
        <v>175001</v>
      </c>
      <c r="V92" s="294">
        <f t="shared" si="29"/>
        <v>54.699999999999932</v>
      </c>
      <c r="W92" s="275">
        <f t="shared" si="29"/>
        <v>92240</v>
      </c>
      <c r="X92" s="294">
        <f t="shared" si="29"/>
        <v>25.600000000000023</v>
      </c>
      <c r="Y92" s="275">
        <f t="shared" si="29"/>
        <v>89906</v>
      </c>
      <c r="Z92" s="294">
        <f t="shared" si="29"/>
        <v>37.5</v>
      </c>
    </row>
    <row r="93" spans="1:26" s="20" customFormat="1" x14ac:dyDescent="0.2">
      <c r="A93" s="266"/>
      <c r="B93" s="227"/>
      <c r="C93" s="267"/>
      <c r="D93" s="232"/>
      <c r="E93" s="268"/>
      <c r="F93" s="237"/>
      <c r="G93" s="267"/>
      <c r="H93" s="232"/>
      <c r="I93" s="267"/>
      <c r="J93" s="232"/>
      <c r="K93" s="267"/>
      <c r="L93" s="232"/>
      <c r="M93" s="267"/>
      <c r="N93" s="232"/>
      <c r="O93" s="267"/>
      <c r="P93" s="232"/>
      <c r="Q93" s="267"/>
      <c r="R93" s="232"/>
      <c r="S93" s="267"/>
      <c r="T93" s="232"/>
      <c r="U93" s="267"/>
      <c r="V93" s="232"/>
      <c r="W93" s="267"/>
      <c r="X93" s="232"/>
      <c r="Y93" s="267"/>
      <c r="Z93" s="232"/>
    </row>
    <row r="94" spans="1:26" s="202" customFormat="1" ht="13.15" customHeight="1" x14ac:dyDescent="0.2">
      <c r="A94" s="698" t="s">
        <v>513</v>
      </c>
      <c r="B94" s="269" t="s">
        <v>488</v>
      </c>
      <c r="C94" s="304" t="s">
        <v>486</v>
      </c>
      <c r="D94" s="314" t="s">
        <v>487</v>
      </c>
      <c r="E94" s="382" t="s">
        <v>486</v>
      </c>
      <c r="F94" s="280" t="s">
        <v>487</v>
      </c>
      <c r="G94" s="304" t="s">
        <v>486</v>
      </c>
      <c r="H94" s="280" t="s">
        <v>487</v>
      </c>
      <c r="I94" s="304" t="s">
        <v>486</v>
      </c>
      <c r="J94" s="314" t="s">
        <v>487</v>
      </c>
      <c r="K94" s="382" t="s">
        <v>486</v>
      </c>
      <c r="L94" s="280" t="s">
        <v>487</v>
      </c>
      <c r="M94" s="304" t="s">
        <v>486</v>
      </c>
      <c r="N94" s="314" t="s">
        <v>487</v>
      </c>
      <c r="O94" s="382" t="s">
        <v>486</v>
      </c>
      <c r="P94" s="280" t="s">
        <v>487</v>
      </c>
      <c r="Q94" s="304" t="s">
        <v>486</v>
      </c>
      <c r="R94" s="314" t="s">
        <v>487</v>
      </c>
      <c r="S94" s="382" t="s">
        <v>486</v>
      </c>
      <c r="T94" s="280" t="s">
        <v>487</v>
      </c>
      <c r="U94" s="304" t="s">
        <v>486</v>
      </c>
      <c r="V94" s="314" t="s">
        <v>487</v>
      </c>
      <c r="W94" s="382" t="s">
        <v>486</v>
      </c>
      <c r="X94" s="280" t="s">
        <v>487</v>
      </c>
      <c r="Y94" s="304" t="s">
        <v>486</v>
      </c>
      <c r="Z94" s="314" t="s">
        <v>487</v>
      </c>
    </row>
    <row r="95" spans="1:26" x14ac:dyDescent="0.2">
      <c r="A95" s="699"/>
      <c r="B95" s="144" t="s">
        <v>265</v>
      </c>
      <c r="C95" s="305">
        <f>'6 Oversikt startpunkt'!B81</f>
        <v>2.8</v>
      </c>
      <c r="D95" s="399">
        <f>'7 Passivhusnivå'!C30</f>
        <v>0.75</v>
      </c>
      <c r="E95" s="209">
        <f>'6 Oversikt startpunkt'!C81</f>
        <v>2.8</v>
      </c>
      <c r="F95" s="209">
        <f>'7 Passivhusnivå'!D30</f>
        <v>0.8</v>
      </c>
      <c r="G95" s="305">
        <f>'6 Oversikt startpunkt'!D81</f>
        <v>2.8</v>
      </c>
      <c r="H95" s="367">
        <f>'7 Passivhusnivå'!F30</f>
        <v>0.8</v>
      </c>
      <c r="I95" s="305">
        <f>'6 Oversikt startpunkt'!E81</f>
        <v>2.8</v>
      </c>
      <c r="J95" s="399">
        <f>'7 Passivhusnivå'!G30</f>
        <v>0.8</v>
      </c>
      <c r="K95" s="367">
        <f>'6 Oversikt startpunkt'!F81</f>
        <v>2.8</v>
      </c>
      <c r="L95" s="367">
        <f>'7 Passivhusnivå'!H30</f>
        <v>0.8</v>
      </c>
      <c r="M95" s="305">
        <f>'6 Oversikt startpunkt'!G81</f>
        <v>2.8</v>
      </c>
      <c r="N95" s="399">
        <f>'7 Passivhusnivå'!I30</f>
        <v>0.8</v>
      </c>
      <c r="O95" s="367">
        <f>'6 Oversikt startpunkt'!H81</f>
        <v>2.8</v>
      </c>
      <c r="P95" s="367">
        <f>'7 Passivhusnivå'!J30</f>
        <v>0.8</v>
      </c>
      <c r="Q95" s="305">
        <f>'6 Oversikt startpunkt'!I81</f>
        <v>2.8</v>
      </c>
      <c r="R95" s="399">
        <f>'7 Passivhusnivå'!K30</f>
        <v>0.8</v>
      </c>
      <c r="S95" s="367">
        <f>'6 Oversikt startpunkt'!J81</f>
        <v>2.8</v>
      </c>
      <c r="T95" s="367">
        <f>'7 Passivhusnivå'!L30</f>
        <v>0.8</v>
      </c>
      <c r="U95" s="305">
        <f>'6 Oversikt startpunkt'!K81</f>
        <v>2.8</v>
      </c>
      <c r="V95" s="399">
        <f>'7 Passivhusnivå'!M30</f>
        <v>0.8</v>
      </c>
      <c r="W95" s="367">
        <f>'6 Oversikt startpunkt'!L81</f>
        <v>2.8</v>
      </c>
      <c r="X95" s="367">
        <f>'7 Passivhusnivå'!N30</f>
        <v>0.8</v>
      </c>
      <c r="Y95" s="305">
        <f>'6 Oversikt startpunkt'!M81</f>
        <v>2.8</v>
      </c>
      <c r="Z95" s="399">
        <f>'7 Passivhusnivå'!O30</f>
        <v>0.8</v>
      </c>
    </row>
    <row r="96" spans="1:26" x14ac:dyDescent="0.2">
      <c r="A96" s="699"/>
      <c r="B96" s="144" t="s">
        <v>13</v>
      </c>
      <c r="C96" s="305">
        <f>C19</f>
        <v>5</v>
      </c>
      <c r="D96" s="312">
        <f>D19</f>
        <v>2.8</v>
      </c>
      <c r="E96" s="367">
        <f t="shared" ref="E96:Z96" si="30">E19</f>
        <v>2.5</v>
      </c>
      <c r="F96" s="270">
        <f t="shared" si="30"/>
        <v>1.55</v>
      </c>
      <c r="G96" s="305">
        <f t="shared" si="30"/>
        <v>3</v>
      </c>
      <c r="H96" s="270">
        <f t="shared" si="30"/>
        <v>1.8</v>
      </c>
      <c r="I96" s="305">
        <f t="shared" si="30"/>
        <v>2.5</v>
      </c>
      <c r="J96" s="312">
        <f t="shared" si="30"/>
        <v>1.55</v>
      </c>
      <c r="K96" s="367">
        <f t="shared" si="30"/>
        <v>3</v>
      </c>
      <c r="L96" s="270">
        <f t="shared" si="30"/>
        <v>1.8</v>
      </c>
      <c r="M96" s="305">
        <f t="shared" si="30"/>
        <v>2.5</v>
      </c>
      <c r="N96" s="312">
        <f t="shared" si="30"/>
        <v>1.55</v>
      </c>
      <c r="O96" s="367">
        <f t="shared" si="30"/>
        <v>2.5</v>
      </c>
      <c r="P96" s="270">
        <f t="shared" si="30"/>
        <v>1.55</v>
      </c>
      <c r="Q96" s="305">
        <f t="shared" si="30"/>
        <v>3</v>
      </c>
      <c r="R96" s="312">
        <f t="shared" si="30"/>
        <v>1.8</v>
      </c>
      <c r="S96" s="367">
        <f t="shared" si="30"/>
        <v>3</v>
      </c>
      <c r="T96" s="270">
        <f t="shared" si="30"/>
        <v>1.8</v>
      </c>
      <c r="U96" s="305">
        <f t="shared" si="30"/>
        <v>3</v>
      </c>
      <c r="V96" s="312">
        <f t="shared" si="30"/>
        <v>1.8</v>
      </c>
      <c r="W96" s="367">
        <f t="shared" si="30"/>
        <v>2.5</v>
      </c>
      <c r="X96" s="270">
        <f t="shared" si="30"/>
        <v>1.55</v>
      </c>
      <c r="Y96" s="305">
        <f t="shared" si="30"/>
        <v>3</v>
      </c>
      <c r="Z96" s="312">
        <f t="shared" si="30"/>
        <v>1.8</v>
      </c>
    </row>
    <row r="97" spans="1:27" x14ac:dyDescent="0.2">
      <c r="A97" s="699"/>
      <c r="B97" s="144" t="s">
        <v>580</v>
      </c>
      <c r="C97" s="305">
        <f>'6 Oversikt startpunkt'!B95</f>
        <v>0.75</v>
      </c>
      <c r="D97" s="399">
        <f>'7 Passivhusnivå'!C44</f>
        <v>0.5</v>
      </c>
      <c r="E97" s="209">
        <f>'6 Oversikt startpunkt'!C95</f>
        <v>0.75</v>
      </c>
      <c r="F97" s="209">
        <f>'7 Passivhusnivå'!D44</f>
        <v>0.5</v>
      </c>
      <c r="G97" s="305">
        <f>'6 Oversikt startpunkt'!D95</f>
        <v>0.75</v>
      </c>
      <c r="H97" s="367">
        <f>'7 Passivhusnivå'!F44</f>
        <v>0.45</v>
      </c>
      <c r="I97" s="305">
        <f>'6 Oversikt startpunkt'!E95</f>
        <v>0.75</v>
      </c>
      <c r="J97" s="399">
        <f>'7 Passivhusnivå'!G44</f>
        <v>0.45</v>
      </c>
      <c r="K97" s="367">
        <f>'6 Oversikt startpunkt'!F95</f>
        <v>0.75</v>
      </c>
      <c r="L97" s="367">
        <f>'7 Passivhusnivå'!H44</f>
        <v>0.45</v>
      </c>
      <c r="M97" s="305">
        <f>'6 Oversikt startpunkt'!G95</f>
        <v>0.75</v>
      </c>
      <c r="N97" s="399">
        <f>'7 Passivhusnivå'!I44</f>
        <v>0.45</v>
      </c>
      <c r="O97" s="367">
        <f>'6 Oversikt startpunkt'!H95</f>
        <v>0.75</v>
      </c>
      <c r="P97" s="367">
        <f>'7 Passivhusnivå'!J44</f>
        <v>0.45</v>
      </c>
      <c r="Q97" s="305">
        <f>'6 Oversikt startpunkt'!I95</f>
        <v>0.75</v>
      </c>
      <c r="R97" s="399">
        <f>'7 Passivhusnivå'!K44</f>
        <v>0.45</v>
      </c>
      <c r="S97" s="367">
        <f>'6 Oversikt startpunkt'!J95</f>
        <v>0.75</v>
      </c>
      <c r="T97" s="367">
        <f>'7 Passivhusnivå'!L44</f>
        <v>0.45</v>
      </c>
      <c r="U97" s="305">
        <f>'6 Oversikt startpunkt'!K95</f>
        <v>0.75</v>
      </c>
      <c r="V97" s="399">
        <f>'7 Passivhusnivå'!M44</f>
        <v>0.45</v>
      </c>
      <c r="W97" s="367">
        <f>'6 Oversikt startpunkt'!L95</f>
        <v>0.75</v>
      </c>
      <c r="X97" s="367">
        <f>'7 Passivhusnivå'!N44</f>
        <v>0.45</v>
      </c>
      <c r="Y97" s="305">
        <f>'6 Oversikt startpunkt'!M95</f>
        <v>0.75</v>
      </c>
      <c r="Z97" s="399">
        <f>'7 Passivhusnivå'!O44</f>
        <v>0.45</v>
      </c>
      <c r="AA97" s="271"/>
    </row>
    <row r="98" spans="1:27" x14ac:dyDescent="0.2">
      <c r="A98" s="699"/>
      <c r="B98" s="144" t="s">
        <v>582</v>
      </c>
      <c r="C98" s="305"/>
      <c r="D98" s="312"/>
      <c r="E98" s="367"/>
      <c r="F98" s="270"/>
      <c r="G98" s="305"/>
      <c r="H98" s="270"/>
      <c r="I98" s="305"/>
      <c r="J98" s="312"/>
      <c r="K98" s="367"/>
      <c r="L98" s="270"/>
      <c r="M98" s="305"/>
      <c r="N98" s="312"/>
      <c r="O98" s="367"/>
      <c r="P98" s="270"/>
      <c r="Q98" s="305"/>
      <c r="R98" s="312"/>
      <c r="S98" s="367"/>
      <c r="T98" s="270"/>
      <c r="U98" s="305"/>
      <c r="V98" s="312"/>
      <c r="W98" s="367"/>
      <c r="X98" s="270"/>
      <c r="Y98" s="305"/>
      <c r="Z98" s="312"/>
      <c r="AA98" s="271"/>
    </row>
    <row r="99" spans="1:27" x14ac:dyDescent="0.2">
      <c r="A99" s="699"/>
      <c r="B99" s="316" t="s">
        <v>581</v>
      </c>
      <c r="C99" s="315"/>
      <c r="D99" s="383"/>
      <c r="G99" s="315"/>
      <c r="I99" s="315"/>
      <c r="J99" s="383"/>
      <c r="M99" s="315"/>
      <c r="N99" s="383"/>
      <c r="Q99" s="315"/>
      <c r="R99" s="383"/>
      <c r="U99" s="315"/>
      <c r="V99" s="383"/>
      <c r="Y99" s="315"/>
      <c r="Z99" s="383"/>
    </row>
    <row r="100" spans="1:27" s="216" customFormat="1" x14ac:dyDescent="0.2">
      <c r="A100" s="699"/>
      <c r="B100" s="288" t="s">
        <v>490</v>
      </c>
      <c r="C100" s="289" t="s">
        <v>372</v>
      </c>
      <c r="D100" s="290" t="s">
        <v>397</v>
      </c>
      <c r="E100" s="289" t="s">
        <v>372</v>
      </c>
      <c r="F100" s="291" t="s">
        <v>397</v>
      </c>
      <c r="G100" s="292" t="s">
        <v>372</v>
      </c>
      <c r="H100" s="290" t="s">
        <v>397</v>
      </c>
      <c r="I100" s="289" t="s">
        <v>372</v>
      </c>
      <c r="J100" s="291" t="s">
        <v>397</v>
      </c>
      <c r="K100" s="292" t="s">
        <v>372</v>
      </c>
      <c r="L100" s="290" t="s">
        <v>397</v>
      </c>
      <c r="M100" s="289" t="s">
        <v>372</v>
      </c>
      <c r="N100" s="290" t="s">
        <v>397</v>
      </c>
      <c r="O100" s="289" t="s">
        <v>372</v>
      </c>
      <c r="P100" s="290" t="s">
        <v>397</v>
      </c>
      <c r="Q100" s="289" t="s">
        <v>372</v>
      </c>
      <c r="R100" s="290" t="s">
        <v>397</v>
      </c>
      <c r="S100" s="289" t="s">
        <v>372</v>
      </c>
      <c r="T100" s="290" t="s">
        <v>397</v>
      </c>
      <c r="U100" s="289" t="s">
        <v>372</v>
      </c>
      <c r="V100" s="290" t="s">
        <v>397</v>
      </c>
      <c r="W100" s="289" t="s">
        <v>372</v>
      </c>
      <c r="X100" s="290" t="s">
        <v>397</v>
      </c>
      <c r="Y100" s="289" t="s">
        <v>372</v>
      </c>
      <c r="Z100" s="291" t="s">
        <v>397</v>
      </c>
    </row>
    <row r="101" spans="1:27" x14ac:dyDescent="0.2">
      <c r="A101" s="699"/>
      <c r="B101" s="272" t="s">
        <v>373</v>
      </c>
      <c r="C101" s="230">
        <v>52876</v>
      </c>
      <c r="D101" s="231">
        <v>330.5</v>
      </c>
      <c r="E101" s="230">
        <v>238882</v>
      </c>
      <c r="F101" s="273">
        <v>265.39999999999998</v>
      </c>
      <c r="G101" s="285">
        <v>96170</v>
      </c>
      <c r="H101" s="231">
        <v>320.60000000000002</v>
      </c>
      <c r="I101" s="230">
        <v>506985</v>
      </c>
      <c r="J101" s="273">
        <v>140.80000000000001</v>
      </c>
      <c r="K101" s="285">
        <v>436661</v>
      </c>
      <c r="L101" s="231">
        <v>181.9</v>
      </c>
      <c r="M101" s="230">
        <v>561028</v>
      </c>
      <c r="N101" s="231">
        <v>155.80000000000001</v>
      </c>
      <c r="O101" s="230">
        <v>805732</v>
      </c>
      <c r="P101" s="231">
        <v>223.8</v>
      </c>
      <c r="Q101" s="230">
        <v>361168</v>
      </c>
      <c r="R101" s="231">
        <v>150.5</v>
      </c>
      <c r="S101" s="230">
        <v>556391</v>
      </c>
      <c r="T101" s="231">
        <v>231.8</v>
      </c>
      <c r="U101" s="230">
        <v>1007663</v>
      </c>
      <c r="V101" s="231">
        <v>314.89999999999998</v>
      </c>
      <c r="W101" s="230">
        <v>660941</v>
      </c>
      <c r="X101" s="231">
        <v>183.6</v>
      </c>
      <c r="Y101" s="230">
        <v>591434</v>
      </c>
      <c r="Z101" s="273">
        <v>246.4</v>
      </c>
    </row>
    <row r="102" spans="1:27" x14ac:dyDescent="0.2">
      <c r="A102" s="699"/>
      <c r="B102" s="272" t="s">
        <v>374</v>
      </c>
      <c r="C102" s="230">
        <v>0</v>
      </c>
      <c r="D102" s="231">
        <v>0</v>
      </c>
      <c r="E102" s="230">
        <v>0</v>
      </c>
      <c r="F102" s="273">
        <v>0</v>
      </c>
      <c r="G102" s="285">
        <v>20703</v>
      </c>
      <c r="H102" s="231">
        <v>69</v>
      </c>
      <c r="I102" s="230">
        <v>218002</v>
      </c>
      <c r="J102" s="273">
        <v>60.6</v>
      </c>
      <c r="K102" s="285">
        <v>195192</v>
      </c>
      <c r="L102" s="231">
        <v>81.3</v>
      </c>
      <c r="M102" s="230">
        <v>283577</v>
      </c>
      <c r="N102" s="231">
        <v>78.8</v>
      </c>
      <c r="O102" s="230">
        <v>652120</v>
      </c>
      <c r="P102" s="231">
        <v>181.1</v>
      </c>
      <c r="Q102" s="230">
        <v>432115</v>
      </c>
      <c r="R102" s="231">
        <v>180</v>
      </c>
      <c r="S102" s="230">
        <v>253997</v>
      </c>
      <c r="T102" s="231">
        <v>105.8</v>
      </c>
      <c r="U102" s="230">
        <v>276849</v>
      </c>
      <c r="V102" s="231">
        <v>86.5</v>
      </c>
      <c r="W102" s="230">
        <v>493746</v>
      </c>
      <c r="X102" s="231">
        <v>137.19999999999999</v>
      </c>
      <c r="Y102" s="230">
        <v>159632</v>
      </c>
      <c r="Z102" s="273">
        <v>66.5</v>
      </c>
    </row>
    <row r="103" spans="1:27" x14ac:dyDescent="0.2">
      <c r="A103" s="699"/>
      <c r="B103" s="272" t="s">
        <v>375</v>
      </c>
      <c r="C103" s="230">
        <v>4765</v>
      </c>
      <c r="D103" s="231">
        <v>29.8</v>
      </c>
      <c r="E103" s="230">
        <v>26792</v>
      </c>
      <c r="F103" s="273">
        <v>29.8</v>
      </c>
      <c r="G103" s="285">
        <v>3007</v>
      </c>
      <c r="H103" s="231">
        <v>10</v>
      </c>
      <c r="I103" s="230">
        <v>18040</v>
      </c>
      <c r="J103" s="273">
        <v>5</v>
      </c>
      <c r="K103" s="285">
        <v>23530</v>
      </c>
      <c r="L103" s="231">
        <v>9.8000000000000007</v>
      </c>
      <c r="M103" s="230">
        <v>18040</v>
      </c>
      <c r="N103" s="231">
        <v>5</v>
      </c>
      <c r="O103" s="230">
        <v>107170</v>
      </c>
      <c r="P103" s="231">
        <v>29.8</v>
      </c>
      <c r="Q103" s="230">
        <v>71482</v>
      </c>
      <c r="R103" s="231">
        <v>29.8</v>
      </c>
      <c r="S103" s="230">
        <v>71482</v>
      </c>
      <c r="T103" s="231">
        <v>29.8</v>
      </c>
      <c r="U103" s="230">
        <v>156864</v>
      </c>
      <c r="V103" s="231">
        <v>49</v>
      </c>
      <c r="W103" s="230">
        <v>36408</v>
      </c>
      <c r="X103" s="231">
        <v>10.1</v>
      </c>
      <c r="Y103" s="230">
        <v>24054</v>
      </c>
      <c r="Z103" s="273">
        <v>10</v>
      </c>
    </row>
    <row r="104" spans="1:27" x14ac:dyDescent="0.2">
      <c r="A104" s="699"/>
      <c r="B104" s="272" t="s">
        <v>376</v>
      </c>
      <c r="C104" s="230">
        <v>0</v>
      </c>
      <c r="D104" s="231">
        <v>0</v>
      </c>
      <c r="E104" s="230">
        <v>0</v>
      </c>
      <c r="F104" s="273">
        <v>0</v>
      </c>
      <c r="G104" s="285">
        <v>13572</v>
      </c>
      <c r="H104" s="231">
        <v>45.2</v>
      </c>
      <c r="I104" s="230">
        <v>156600</v>
      </c>
      <c r="J104" s="273">
        <v>43.5</v>
      </c>
      <c r="K104" s="285">
        <v>119244</v>
      </c>
      <c r="L104" s="231">
        <v>49.7</v>
      </c>
      <c r="M104" s="230">
        <v>203537</v>
      </c>
      <c r="N104" s="231">
        <v>56.5</v>
      </c>
      <c r="O104" s="230">
        <v>454117</v>
      </c>
      <c r="P104" s="231">
        <v>126.1</v>
      </c>
      <c r="Q104" s="230">
        <v>265534</v>
      </c>
      <c r="R104" s="231">
        <v>110.6</v>
      </c>
      <c r="S104" s="230">
        <v>184952</v>
      </c>
      <c r="T104" s="231">
        <v>77.099999999999994</v>
      </c>
      <c r="U104" s="230">
        <v>137588</v>
      </c>
      <c r="V104" s="231">
        <v>43</v>
      </c>
      <c r="W104" s="230">
        <v>374400</v>
      </c>
      <c r="X104" s="231">
        <v>104</v>
      </c>
      <c r="Y104" s="230">
        <v>116928</v>
      </c>
      <c r="Z104" s="273">
        <v>48.7</v>
      </c>
    </row>
    <row r="105" spans="1:27" x14ac:dyDescent="0.2">
      <c r="A105" s="699"/>
      <c r="B105" s="272" t="s">
        <v>377</v>
      </c>
      <c r="C105" s="230">
        <v>195</v>
      </c>
      <c r="D105" s="231">
        <v>1.2</v>
      </c>
      <c r="E105" s="230">
        <v>896</v>
      </c>
      <c r="F105" s="273">
        <v>1</v>
      </c>
      <c r="G105" s="285">
        <v>544</v>
      </c>
      <c r="H105" s="231">
        <v>1.8</v>
      </c>
      <c r="I105" s="230">
        <v>8052</v>
      </c>
      <c r="J105" s="273">
        <v>2.2000000000000002</v>
      </c>
      <c r="K105" s="285">
        <v>4023</v>
      </c>
      <c r="L105" s="231">
        <v>1.7</v>
      </c>
      <c r="M105" s="230">
        <v>9686</v>
      </c>
      <c r="N105" s="231">
        <v>2.7</v>
      </c>
      <c r="O105" s="230">
        <v>11796</v>
      </c>
      <c r="P105" s="231">
        <v>3.3</v>
      </c>
      <c r="Q105" s="230">
        <v>3052</v>
      </c>
      <c r="R105" s="231">
        <v>1.3</v>
      </c>
      <c r="S105" s="230">
        <v>6479</v>
      </c>
      <c r="T105" s="231">
        <v>2.7</v>
      </c>
      <c r="U105" s="230">
        <v>5858</v>
      </c>
      <c r="V105" s="231">
        <v>1.8</v>
      </c>
      <c r="W105" s="230">
        <v>13117</v>
      </c>
      <c r="X105" s="231">
        <v>3.6</v>
      </c>
      <c r="Y105" s="230">
        <v>6621</v>
      </c>
      <c r="Z105" s="273">
        <v>2.8</v>
      </c>
    </row>
    <row r="106" spans="1:27" x14ac:dyDescent="0.2">
      <c r="A106" s="699"/>
      <c r="B106" s="272" t="s">
        <v>378</v>
      </c>
      <c r="C106" s="230">
        <v>2164</v>
      </c>
      <c r="D106" s="231">
        <v>13.5</v>
      </c>
      <c r="E106" s="230">
        <v>12175</v>
      </c>
      <c r="F106" s="273">
        <v>13.5</v>
      </c>
      <c r="G106" s="285">
        <v>15269</v>
      </c>
      <c r="H106" s="231">
        <v>50.9</v>
      </c>
      <c r="I106" s="230">
        <v>211453</v>
      </c>
      <c r="J106" s="273">
        <v>58.7</v>
      </c>
      <c r="K106" s="285">
        <v>125759</v>
      </c>
      <c r="L106" s="231">
        <v>52.4</v>
      </c>
      <c r="M106" s="230">
        <v>211453</v>
      </c>
      <c r="N106" s="231">
        <v>58.7</v>
      </c>
      <c r="O106" s="230">
        <v>374581</v>
      </c>
      <c r="P106" s="231">
        <v>104.1</v>
      </c>
      <c r="Q106" s="230">
        <v>249557</v>
      </c>
      <c r="R106" s="231">
        <v>104</v>
      </c>
      <c r="S106" s="230">
        <v>249557</v>
      </c>
      <c r="T106" s="231">
        <v>104</v>
      </c>
      <c r="U106" s="230">
        <v>154800</v>
      </c>
      <c r="V106" s="231">
        <v>48.4</v>
      </c>
      <c r="W106" s="230">
        <v>473873</v>
      </c>
      <c r="X106" s="231">
        <v>131.6</v>
      </c>
      <c r="Y106" s="230">
        <v>131544</v>
      </c>
      <c r="Z106" s="273">
        <v>54.8</v>
      </c>
    </row>
    <row r="107" spans="1:27" x14ac:dyDescent="0.2">
      <c r="A107" s="699"/>
      <c r="B107" s="272" t="s">
        <v>379</v>
      </c>
      <c r="C107" s="230">
        <v>3329</v>
      </c>
      <c r="D107" s="231">
        <v>20.8</v>
      </c>
      <c r="E107" s="230">
        <v>18727</v>
      </c>
      <c r="F107" s="273">
        <v>20.8</v>
      </c>
      <c r="G107" s="285">
        <v>2036</v>
      </c>
      <c r="H107" s="231">
        <v>6.8</v>
      </c>
      <c r="I107" s="230">
        <v>155070</v>
      </c>
      <c r="J107" s="273">
        <v>43.1</v>
      </c>
      <c r="K107" s="285">
        <v>40248</v>
      </c>
      <c r="L107" s="231">
        <v>16.8</v>
      </c>
      <c r="M107" s="230">
        <v>155070</v>
      </c>
      <c r="N107" s="231">
        <v>43.1</v>
      </c>
      <c r="O107" s="230">
        <v>199728</v>
      </c>
      <c r="P107" s="231">
        <v>55.5</v>
      </c>
      <c r="Q107" s="230">
        <v>66576</v>
      </c>
      <c r="R107" s="231">
        <v>27.7</v>
      </c>
      <c r="S107" s="230">
        <v>16644</v>
      </c>
      <c r="T107" s="231">
        <v>6.9</v>
      </c>
      <c r="U107" s="230">
        <v>10320</v>
      </c>
      <c r="V107" s="231">
        <v>3.2</v>
      </c>
      <c r="W107" s="230">
        <v>16848</v>
      </c>
      <c r="X107" s="231">
        <v>4.7</v>
      </c>
      <c r="Y107" s="230">
        <v>8770</v>
      </c>
      <c r="Z107" s="273">
        <v>3.7</v>
      </c>
    </row>
    <row r="108" spans="1:27" x14ac:dyDescent="0.2">
      <c r="A108" s="699"/>
      <c r="B108" s="272" t="s">
        <v>380</v>
      </c>
      <c r="C108" s="230">
        <v>0</v>
      </c>
      <c r="D108" s="231">
        <v>0</v>
      </c>
      <c r="E108" s="235">
        <v>0</v>
      </c>
      <c r="F108" s="273">
        <v>0</v>
      </c>
      <c r="G108" s="285">
        <v>0</v>
      </c>
      <c r="H108" s="231">
        <v>0</v>
      </c>
      <c r="I108" s="230">
        <v>0</v>
      </c>
      <c r="J108" s="273">
        <v>0</v>
      </c>
      <c r="K108" s="285">
        <v>0</v>
      </c>
      <c r="L108" s="231">
        <v>0</v>
      </c>
      <c r="M108" s="230">
        <v>0</v>
      </c>
      <c r="N108" s="231">
        <v>0</v>
      </c>
      <c r="O108" s="230">
        <v>0</v>
      </c>
      <c r="P108" s="231">
        <v>0</v>
      </c>
      <c r="Q108" s="230">
        <v>0</v>
      </c>
      <c r="R108" s="231">
        <v>0</v>
      </c>
      <c r="S108" s="230">
        <v>0</v>
      </c>
      <c r="T108" s="231">
        <v>0</v>
      </c>
      <c r="U108" s="230">
        <v>0</v>
      </c>
      <c r="V108" s="231">
        <v>0</v>
      </c>
      <c r="W108" s="230">
        <v>0</v>
      </c>
      <c r="X108" s="231">
        <v>0</v>
      </c>
      <c r="Y108" s="230">
        <v>0</v>
      </c>
      <c r="Z108" s="273">
        <v>0</v>
      </c>
    </row>
    <row r="109" spans="1:27" x14ac:dyDescent="0.2">
      <c r="A109" s="699"/>
      <c r="B109" s="272" t="s">
        <v>381</v>
      </c>
      <c r="C109" s="230">
        <v>0</v>
      </c>
      <c r="D109" s="231">
        <v>0</v>
      </c>
      <c r="E109" s="235">
        <v>0</v>
      </c>
      <c r="F109" s="273">
        <v>0</v>
      </c>
      <c r="G109" s="285">
        <v>0</v>
      </c>
      <c r="H109" s="231">
        <v>0</v>
      </c>
      <c r="I109" s="230">
        <v>27840</v>
      </c>
      <c r="J109" s="273">
        <v>7.7</v>
      </c>
      <c r="K109" s="285">
        <v>0</v>
      </c>
      <c r="L109" s="231">
        <v>0</v>
      </c>
      <c r="M109" s="230">
        <v>35848</v>
      </c>
      <c r="N109" s="231">
        <v>10</v>
      </c>
      <c r="O109" s="230">
        <v>68351</v>
      </c>
      <c r="P109" s="231">
        <v>19</v>
      </c>
      <c r="Q109" s="230">
        <v>0</v>
      </c>
      <c r="R109" s="231">
        <v>0</v>
      </c>
      <c r="S109" s="230">
        <v>29653</v>
      </c>
      <c r="T109" s="231">
        <v>12.4</v>
      </c>
      <c r="U109" s="230">
        <v>0</v>
      </c>
      <c r="V109" s="231">
        <v>0</v>
      </c>
      <c r="W109" s="230">
        <v>70164</v>
      </c>
      <c r="X109" s="231">
        <v>19.5</v>
      </c>
      <c r="Y109" s="230">
        <v>22221</v>
      </c>
      <c r="Z109" s="273">
        <v>9.3000000000000007</v>
      </c>
    </row>
    <row r="110" spans="1:27" s="20" customFormat="1" x14ac:dyDescent="0.2">
      <c r="A110" s="699"/>
      <c r="B110" s="274" t="s">
        <v>382</v>
      </c>
      <c r="C110" s="275">
        <v>63329</v>
      </c>
      <c r="D110" s="276">
        <v>395.8</v>
      </c>
      <c r="E110" s="277">
        <v>297473</v>
      </c>
      <c r="F110" s="287">
        <v>330.5</v>
      </c>
      <c r="G110" s="286">
        <v>151301</v>
      </c>
      <c r="H110" s="276">
        <v>504.3</v>
      </c>
      <c r="I110" s="275">
        <v>1302041</v>
      </c>
      <c r="J110" s="279">
        <v>361.7</v>
      </c>
      <c r="K110" s="286">
        <v>944655</v>
      </c>
      <c r="L110" s="276">
        <v>393.6</v>
      </c>
      <c r="M110" s="275">
        <v>1478238</v>
      </c>
      <c r="N110" s="276">
        <v>410.6</v>
      </c>
      <c r="O110" s="275">
        <v>2673596</v>
      </c>
      <c r="P110" s="276">
        <v>742.7</v>
      </c>
      <c r="Q110" s="275">
        <v>1449484</v>
      </c>
      <c r="R110" s="276">
        <v>604</v>
      </c>
      <c r="S110" s="275">
        <v>1369155</v>
      </c>
      <c r="T110" s="276">
        <v>570.5</v>
      </c>
      <c r="U110" s="275">
        <v>1749942</v>
      </c>
      <c r="V110" s="276">
        <v>546.9</v>
      </c>
      <c r="W110" s="275">
        <v>2139497</v>
      </c>
      <c r="X110" s="276">
        <v>594.29999999999995</v>
      </c>
      <c r="Y110" s="275">
        <v>1061204</v>
      </c>
      <c r="Z110" s="279">
        <v>442.2</v>
      </c>
    </row>
    <row r="111" spans="1:27" s="216" customFormat="1" x14ac:dyDescent="0.2">
      <c r="A111" s="699"/>
      <c r="B111" s="283" t="s">
        <v>491</v>
      </c>
      <c r="C111" s="289" t="s">
        <v>372</v>
      </c>
      <c r="D111" s="291" t="s">
        <v>397</v>
      </c>
      <c r="E111" s="289" t="s">
        <v>372</v>
      </c>
      <c r="F111" s="291" t="s">
        <v>397</v>
      </c>
      <c r="G111" s="289" t="s">
        <v>372</v>
      </c>
      <c r="H111" s="291" t="s">
        <v>397</v>
      </c>
      <c r="I111" s="289" t="s">
        <v>372</v>
      </c>
      <c r="J111" s="291" t="s">
        <v>397</v>
      </c>
      <c r="K111" s="289" t="s">
        <v>372</v>
      </c>
      <c r="L111" s="291" t="s">
        <v>397</v>
      </c>
      <c r="M111" s="289" t="s">
        <v>372</v>
      </c>
      <c r="N111" s="291" t="s">
        <v>397</v>
      </c>
      <c r="O111" s="289" t="s">
        <v>372</v>
      </c>
      <c r="P111" s="291" t="s">
        <v>397</v>
      </c>
      <c r="Q111" s="289" t="s">
        <v>372</v>
      </c>
      <c r="R111" s="291" t="s">
        <v>397</v>
      </c>
      <c r="S111" s="289" t="s">
        <v>372</v>
      </c>
      <c r="T111" s="291" t="s">
        <v>397</v>
      </c>
      <c r="U111" s="289" t="s">
        <v>372</v>
      </c>
      <c r="V111" s="291" t="s">
        <v>397</v>
      </c>
      <c r="W111" s="289" t="s">
        <v>372</v>
      </c>
      <c r="X111" s="291" t="s">
        <v>397</v>
      </c>
      <c r="Y111" s="289" t="s">
        <v>372</v>
      </c>
      <c r="Z111" s="291" t="s">
        <v>397</v>
      </c>
    </row>
    <row r="112" spans="1:27" x14ac:dyDescent="0.2">
      <c r="A112" s="699"/>
      <c r="B112" s="272" t="s">
        <v>373</v>
      </c>
      <c r="C112" s="230">
        <f>C$6-C101</f>
        <v>12471</v>
      </c>
      <c r="D112" s="293">
        <f t="shared" ref="D112:Z112" si="31">D$6-D101</f>
        <v>77.899999999999977</v>
      </c>
      <c r="E112" s="230">
        <f t="shared" si="31"/>
        <v>53456</v>
      </c>
      <c r="F112" s="293">
        <f t="shared" si="31"/>
        <v>59.400000000000034</v>
      </c>
      <c r="G112" s="230">
        <f t="shared" si="31"/>
        <v>20451</v>
      </c>
      <c r="H112" s="293">
        <f t="shared" si="31"/>
        <v>68.099999999999966</v>
      </c>
      <c r="I112" s="230">
        <f t="shared" si="31"/>
        <v>188723</v>
      </c>
      <c r="J112" s="293">
        <f t="shared" si="31"/>
        <v>52.5</v>
      </c>
      <c r="K112" s="230">
        <f t="shared" si="31"/>
        <v>144557</v>
      </c>
      <c r="L112" s="293">
        <f t="shared" si="31"/>
        <v>60.299999999999983</v>
      </c>
      <c r="M112" s="230">
        <f t="shared" si="31"/>
        <v>199840</v>
      </c>
      <c r="N112" s="293">
        <f t="shared" si="31"/>
        <v>55.599999999999994</v>
      </c>
      <c r="O112" s="230">
        <f t="shared" si="31"/>
        <v>198030</v>
      </c>
      <c r="P112" s="293">
        <f t="shared" si="31"/>
        <v>55</v>
      </c>
      <c r="Q112" s="230">
        <f t="shared" si="31"/>
        <v>144188</v>
      </c>
      <c r="R112" s="293">
        <f t="shared" si="31"/>
        <v>60.099999999999994</v>
      </c>
      <c r="S112" s="230">
        <f t="shared" si="31"/>
        <v>139883</v>
      </c>
      <c r="T112" s="293">
        <f t="shared" si="31"/>
        <v>58.300000000000011</v>
      </c>
      <c r="U112" s="230">
        <f t="shared" si="31"/>
        <v>236739</v>
      </c>
      <c r="V112" s="293">
        <f t="shared" si="31"/>
        <v>74</v>
      </c>
      <c r="W112" s="230">
        <f t="shared" si="31"/>
        <v>200929</v>
      </c>
      <c r="X112" s="293">
        <f t="shared" si="31"/>
        <v>55.800000000000011</v>
      </c>
      <c r="Y112" s="230">
        <f t="shared" si="31"/>
        <v>139877</v>
      </c>
      <c r="Z112" s="293">
        <f t="shared" si="31"/>
        <v>58.299999999999983</v>
      </c>
    </row>
    <row r="113" spans="1:26" x14ac:dyDescent="0.2">
      <c r="A113" s="699"/>
      <c r="B113" s="272" t="s">
        <v>374</v>
      </c>
      <c r="C113" s="230">
        <f t="shared" ref="C113:Z113" si="32">C$7-C102</f>
        <v>0</v>
      </c>
      <c r="D113" s="293">
        <f t="shared" si="32"/>
        <v>0</v>
      </c>
      <c r="E113" s="230">
        <f t="shared" si="32"/>
        <v>0</v>
      </c>
      <c r="F113" s="293">
        <f t="shared" si="32"/>
        <v>0</v>
      </c>
      <c r="G113" s="230">
        <f t="shared" si="32"/>
        <v>-10</v>
      </c>
      <c r="H113" s="293">
        <f t="shared" si="32"/>
        <v>0</v>
      </c>
      <c r="I113" s="230">
        <f t="shared" si="32"/>
        <v>-384</v>
      </c>
      <c r="J113" s="293">
        <f t="shared" si="32"/>
        <v>-0.20000000000000284</v>
      </c>
      <c r="K113" s="230">
        <f t="shared" si="32"/>
        <v>-408</v>
      </c>
      <c r="L113" s="293">
        <f t="shared" si="32"/>
        <v>-9.9999999999994316E-2</v>
      </c>
      <c r="M113" s="230">
        <f t="shared" si="32"/>
        <v>-138</v>
      </c>
      <c r="N113" s="293">
        <f t="shared" si="32"/>
        <v>-9.9999999999994316E-2</v>
      </c>
      <c r="O113" s="230">
        <f t="shared" si="32"/>
        <v>-90</v>
      </c>
      <c r="P113" s="293">
        <f t="shared" si="32"/>
        <v>0</v>
      </c>
      <c r="Q113" s="230">
        <f t="shared" si="32"/>
        <v>-682</v>
      </c>
      <c r="R113" s="293">
        <f t="shared" si="32"/>
        <v>-0.19999999999998863</v>
      </c>
      <c r="S113" s="230">
        <f t="shared" si="32"/>
        <v>-10</v>
      </c>
      <c r="T113" s="293">
        <f t="shared" si="32"/>
        <v>0</v>
      </c>
      <c r="U113" s="230">
        <f t="shared" si="32"/>
        <v>-225</v>
      </c>
      <c r="V113" s="293">
        <f t="shared" si="32"/>
        <v>-9.9999999999994316E-2</v>
      </c>
      <c r="W113" s="230">
        <f t="shared" si="32"/>
        <v>6</v>
      </c>
      <c r="X113" s="293">
        <f t="shared" si="32"/>
        <v>0</v>
      </c>
      <c r="Y113" s="230">
        <f t="shared" si="32"/>
        <v>-1</v>
      </c>
      <c r="Z113" s="293">
        <f t="shared" si="32"/>
        <v>0</v>
      </c>
    </row>
    <row r="114" spans="1:26" x14ac:dyDescent="0.2">
      <c r="A114" s="699"/>
      <c r="B114" s="272" t="s">
        <v>375</v>
      </c>
      <c r="C114" s="230">
        <f>C$8-C103</f>
        <v>0</v>
      </c>
      <c r="D114" s="293">
        <f t="shared" ref="D114:Z114" si="33">D$8-D103</f>
        <v>0</v>
      </c>
      <c r="E114" s="230">
        <f t="shared" si="33"/>
        <v>0</v>
      </c>
      <c r="F114" s="293">
        <f t="shared" si="33"/>
        <v>0</v>
      </c>
      <c r="G114" s="230">
        <f t="shared" si="33"/>
        <v>0</v>
      </c>
      <c r="H114" s="293">
        <f t="shared" si="33"/>
        <v>0</v>
      </c>
      <c r="I114" s="230">
        <f t="shared" si="33"/>
        <v>0</v>
      </c>
      <c r="J114" s="293">
        <f t="shared" si="33"/>
        <v>0</v>
      </c>
      <c r="K114" s="230">
        <f t="shared" si="33"/>
        <v>0</v>
      </c>
      <c r="L114" s="293">
        <f t="shared" si="33"/>
        <v>0</v>
      </c>
      <c r="M114" s="230">
        <f t="shared" si="33"/>
        <v>0</v>
      </c>
      <c r="N114" s="293">
        <f t="shared" si="33"/>
        <v>0</v>
      </c>
      <c r="O114" s="230">
        <f t="shared" si="33"/>
        <v>0</v>
      </c>
      <c r="P114" s="293">
        <f t="shared" si="33"/>
        <v>0</v>
      </c>
      <c r="Q114" s="230">
        <f t="shared" si="33"/>
        <v>0</v>
      </c>
      <c r="R114" s="293">
        <f t="shared" si="33"/>
        <v>0</v>
      </c>
      <c r="S114" s="230">
        <f t="shared" si="33"/>
        <v>0</v>
      </c>
      <c r="T114" s="293">
        <f t="shared" si="33"/>
        <v>0</v>
      </c>
      <c r="U114" s="230">
        <f t="shared" si="33"/>
        <v>0</v>
      </c>
      <c r="V114" s="293">
        <f t="shared" si="33"/>
        <v>0</v>
      </c>
      <c r="W114" s="230">
        <f t="shared" si="33"/>
        <v>0</v>
      </c>
      <c r="X114" s="293">
        <f t="shared" si="33"/>
        <v>0</v>
      </c>
      <c r="Y114" s="230">
        <f t="shared" si="33"/>
        <v>0</v>
      </c>
      <c r="Z114" s="293">
        <f t="shared" si="33"/>
        <v>0</v>
      </c>
    </row>
    <row r="115" spans="1:26" x14ac:dyDescent="0.2">
      <c r="A115" s="699"/>
      <c r="B115" s="272" t="s">
        <v>376</v>
      </c>
      <c r="C115" s="230">
        <f t="shared" ref="C115:Z115" si="34">C$9-C104</f>
        <v>0</v>
      </c>
      <c r="D115" s="293">
        <f t="shared" si="34"/>
        <v>0</v>
      </c>
      <c r="E115" s="230">
        <f t="shared" si="34"/>
        <v>0</v>
      </c>
      <c r="F115" s="293">
        <f t="shared" si="34"/>
        <v>0</v>
      </c>
      <c r="G115" s="230">
        <f t="shared" si="34"/>
        <v>0</v>
      </c>
      <c r="H115" s="293">
        <f t="shared" si="34"/>
        <v>0</v>
      </c>
      <c r="I115" s="230">
        <f t="shared" si="34"/>
        <v>0</v>
      </c>
      <c r="J115" s="293">
        <f t="shared" si="34"/>
        <v>0</v>
      </c>
      <c r="K115" s="230">
        <f t="shared" si="34"/>
        <v>0</v>
      </c>
      <c r="L115" s="293">
        <f t="shared" si="34"/>
        <v>0</v>
      </c>
      <c r="M115" s="230">
        <f t="shared" si="34"/>
        <v>0</v>
      </c>
      <c r="N115" s="293">
        <f t="shared" si="34"/>
        <v>0</v>
      </c>
      <c r="O115" s="230">
        <f t="shared" si="34"/>
        <v>0</v>
      </c>
      <c r="P115" s="293">
        <f t="shared" si="34"/>
        <v>0</v>
      </c>
      <c r="Q115" s="230">
        <f t="shared" si="34"/>
        <v>0</v>
      </c>
      <c r="R115" s="293">
        <f t="shared" si="34"/>
        <v>0</v>
      </c>
      <c r="S115" s="230">
        <f t="shared" si="34"/>
        <v>0</v>
      </c>
      <c r="T115" s="293">
        <f t="shared" si="34"/>
        <v>0</v>
      </c>
      <c r="U115" s="230">
        <f t="shared" si="34"/>
        <v>0</v>
      </c>
      <c r="V115" s="293">
        <f t="shared" si="34"/>
        <v>0</v>
      </c>
      <c r="W115" s="230">
        <f t="shared" si="34"/>
        <v>0</v>
      </c>
      <c r="X115" s="293">
        <f t="shared" si="34"/>
        <v>0</v>
      </c>
      <c r="Y115" s="230">
        <f t="shared" si="34"/>
        <v>0</v>
      </c>
      <c r="Z115" s="293">
        <f t="shared" si="34"/>
        <v>0</v>
      </c>
    </row>
    <row r="116" spans="1:26" x14ac:dyDescent="0.2">
      <c r="A116" s="699"/>
      <c r="B116" s="272" t="s">
        <v>377</v>
      </c>
      <c r="C116" s="230">
        <f t="shared" ref="C116:Z116" si="35">C$10-C105</f>
        <v>37</v>
      </c>
      <c r="D116" s="293">
        <f t="shared" si="35"/>
        <v>0.19999999999999996</v>
      </c>
      <c r="E116" s="230">
        <f t="shared" si="35"/>
        <v>206</v>
      </c>
      <c r="F116" s="293">
        <f t="shared" si="35"/>
        <v>0.19999999999999996</v>
      </c>
      <c r="G116" s="230">
        <f t="shared" si="35"/>
        <v>41</v>
      </c>
      <c r="H116" s="293">
        <f t="shared" si="35"/>
        <v>0.19999999999999996</v>
      </c>
      <c r="I116" s="230">
        <f t="shared" si="35"/>
        <v>730</v>
      </c>
      <c r="J116" s="293">
        <f t="shared" si="35"/>
        <v>0.19999999999999973</v>
      </c>
      <c r="K116" s="230">
        <f t="shared" si="35"/>
        <v>612</v>
      </c>
      <c r="L116" s="293">
        <f t="shared" si="35"/>
        <v>0.19999999999999996</v>
      </c>
      <c r="M116" s="230">
        <f t="shared" si="35"/>
        <v>351</v>
      </c>
      <c r="N116" s="293">
        <f t="shared" si="35"/>
        <v>9.9999999999999645E-2</v>
      </c>
      <c r="O116" s="230">
        <f t="shared" si="35"/>
        <v>440</v>
      </c>
      <c r="P116" s="293">
        <f t="shared" si="35"/>
        <v>0.10000000000000009</v>
      </c>
      <c r="Q116" s="230">
        <f t="shared" si="35"/>
        <v>627</v>
      </c>
      <c r="R116" s="293">
        <f t="shared" si="35"/>
        <v>0.19999999999999996</v>
      </c>
      <c r="S116" s="230">
        <f t="shared" si="35"/>
        <v>645</v>
      </c>
      <c r="T116" s="293">
        <f t="shared" si="35"/>
        <v>0.29999999999999982</v>
      </c>
      <c r="U116" s="230">
        <f t="shared" si="35"/>
        <v>384</v>
      </c>
      <c r="V116" s="293">
        <f t="shared" si="35"/>
        <v>0.19999999999999996</v>
      </c>
      <c r="W116" s="230">
        <f t="shared" si="35"/>
        <v>918</v>
      </c>
      <c r="X116" s="293">
        <f t="shared" si="35"/>
        <v>0.29999999999999982</v>
      </c>
      <c r="Y116" s="230">
        <f t="shared" si="35"/>
        <v>359</v>
      </c>
      <c r="Z116" s="293">
        <f t="shared" si="35"/>
        <v>0.10000000000000009</v>
      </c>
    </row>
    <row r="117" spans="1:26" x14ac:dyDescent="0.2">
      <c r="A117" s="699"/>
      <c r="B117" s="272" t="s">
        <v>378</v>
      </c>
      <c r="C117" s="230">
        <f t="shared" ref="C117:Z117" si="36">C$11-C106</f>
        <v>0</v>
      </c>
      <c r="D117" s="293">
        <f t="shared" si="36"/>
        <v>0</v>
      </c>
      <c r="E117" s="230">
        <f t="shared" si="36"/>
        <v>0</v>
      </c>
      <c r="F117" s="293">
        <f t="shared" si="36"/>
        <v>0</v>
      </c>
      <c r="G117" s="230">
        <f t="shared" si="36"/>
        <v>0</v>
      </c>
      <c r="H117" s="293">
        <f t="shared" si="36"/>
        <v>0</v>
      </c>
      <c r="I117" s="230">
        <f t="shared" si="36"/>
        <v>0</v>
      </c>
      <c r="J117" s="293">
        <f t="shared" si="36"/>
        <v>0</v>
      </c>
      <c r="K117" s="230">
        <f t="shared" si="36"/>
        <v>0</v>
      </c>
      <c r="L117" s="293">
        <f t="shared" si="36"/>
        <v>0</v>
      </c>
      <c r="M117" s="230">
        <f t="shared" si="36"/>
        <v>0</v>
      </c>
      <c r="N117" s="293">
        <f t="shared" si="36"/>
        <v>0</v>
      </c>
      <c r="O117" s="230">
        <f t="shared" si="36"/>
        <v>0</v>
      </c>
      <c r="P117" s="293">
        <f t="shared" si="36"/>
        <v>0</v>
      </c>
      <c r="Q117" s="230">
        <f t="shared" si="36"/>
        <v>0</v>
      </c>
      <c r="R117" s="293">
        <f t="shared" si="36"/>
        <v>0</v>
      </c>
      <c r="S117" s="230">
        <f t="shared" si="36"/>
        <v>0</v>
      </c>
      <c r="T117" s="293">
        <f t="shared" si="36"/>
        <v>0</v>
      </c>
      <c r="U117" s="230">
        <f t="shared" si="36"/>
        <v>0</v>
      </c>
      <c r="V117" s="293">
        <f t="shared" si="36"/>
        <v>0</v>
      </c>
      <c r="W117" s="230">
        <f t="shared" si="36"/>
        <v>0</v>
      </c>
      <c r="X117" s="293">
        <f t="shared" si="36"/>
        <v>0</v>
      </c>
      <c r="Y117" s="230">
        <f t="shared" si="36"/>
        <v>0</v>
      </c>
      <c r="Z117" s="293">
        <f t="shared" si="36"/>
        <v>0</v>
      </c>
    </row>
    <row r="118" spans="1:26" x14ac:dyDescent="0.2">
      <c r="A118" s="699"/>
      <c r="B118" s="272" t="s">
        <v>379</v>
      </c>
      <c r="C118" s="230">
        <f t="shared" ref="C118:Z118" si="37">C$12-C107</f>
        <v>0</v>
      </c>
      <c r="D118" s="293">
        <f t="shared" si="37"/>
        <v>0</v>
      </c>
      <c r="E118" s="230">
        <f t="shared" si="37"/>
        <v>0</v>
      </c>
      <c r="F118" s="293">
        <f t="shared" si="37"/>
        <v>0</v>
      </c>
      <c r="G118" s="230">
        <f t="shared" si="37"/>
        <v>0</v>
      </c>
      <c r="H118" s="293">
        <f t="shared" si="37"/>
        <v>0</v>
      </c>
      <c r="I118" s="230">
        <f t="shared" si="37"/>
        <v>0</v>
      </c>
      <c r="J118" s="293">
        <f t="shared" si="37"/>
        <v>0</v>
      </c>
      <c r="K118" s="230">
        <f t="shared" si="37"/>
        <v>0</v>
      </c>
      <c r="L118" s="293">
        <f t="shared" si="37"/>
        <v>0</v>
      </c>
      <c r="M118" s="230">
        <f t="shared" si="37"/>
        <v>0</v>
      </c>
      <c r="N118" s="293">
        <f t="shared" si="37"/>
        <v>0</v>
      </c>
      <c r="O118" s="230">
        <f t="shared" si="37"/>
        <v>0</v>
      </c>
      <c r="P118" s="293">
        <f t="shared" si="37"/>
        <v>0</v>
      </c>
      <c r="Q118" s="230">
        <f t="shared" si="37"/>
        <v>0</v>
      </c>
      <c r="R118" s="293">
        <f t="shared" si="37"/>
        <v>0</v>
      </c>
      <c r="S118" s="230">
        <f t="shared" si="37"/>
        <v>0</v>
      </c>
      <c r="T118" s="293">
        <f t="shared" si="37"/>
        <v>0</v>
      </c>
      <c r="U118" s="230">
        <f t="shared" si="37"/>
        <v>0</v>
      </c>
      <c r="V118" s="293">
        <f t="shared" si="37"/>
        <v>0</v>
      </c>
      <c r="W118" s="230">
        <f t="shared" si="37"/>
        <v>0</v>
      </c>
      <c r="X118" s="293">
        <f t="shared" si="37"/>
        <v>0</v>
      </c>
      <c r="Y118" s="230">
        <f t="shared" si="37"/>
        <v>0</v>
      </c>
      <c r="Z118" s="293">
        <f t="shared" si="37"/>
        <v>0</v>
      </c>
    </row>
    <row r="119" spans="1:26" x14ac:dyDescent="0.2">
      <c r="A119" s="699"/>
      <c r="B119" s="272" t="s">
        <v>380</v>
      </c>
      <c r="C119" s="230">
        <f t="shared" ref="C119:Z119" si="38">C$13-C108</f>
        <v>0</v>
      </c>
      <c r="D119" s="293">
        <f t="shared" si="38"/>
        <v>0</v>
      </c>
      <c r="E119" s="230">
        <f t="shared" si="38"/>
        <v>0</v>
      </c>
      <c r="F119" s="293">
        <f t="shared" si="38"/>
        <v>0</v>
      </c>
      <c r="G119" s="230">
        <f t="shared" si="38"/>
        <v>0</v>
      </c>
      <c r="H119" s="293">
        <f t="shared" si="38"/>
        <v>0</v>
      </c>
      <c r="I119" s="230">
        <f t="shared" si="38"/>
        <v>0</v>
      </c>
      <c r="J119" s="293">
        <f t="shared" si="38"/>
        <v>0</v>
      </c>
      <c r="K119" s="230">
        <f t="shared" si="38"/>
        <v>0</v>
      </c>
      <c r="L119" s="293">
        <f t="shared" si="38"/>
        <v>0</v>
      </c>
      <c r="M119" s="230">
        <f t="shared" si="38"/>
        <v>0</v>
      </c>
      <c r="N119" s="293">
        <f t="shared" si="38"/>
        <v>0</v>
      </c>
      <c r="O119" s="230">
        <f t="shared" si="38"/>
        <v>0</v>
      </c>
      <c r="P119" s="293">
        <f t="shared" si="38"/>
        <v>0</v>
      </c>
      <c r="Q119" s="230">
        <f t="shared" si="38"/>
        <v>0</v>
      </c>
      <c r="R119" s="293">
        <f t="shared" si="38"/>
        <v>0</v>
      </c>
      <c r="S119" s="230">
        <f t="shared" si="38"/>
        <v>0</v>
      </c>
      <c r="T119" s="293">
        <f t="shared" si="38"/>
        <v>0</v>
      </c>
      <c r="U119" s="230">
        <f t="shared" si="38"/>
        <v>0</v>
      </c>
      <c r="V119" s="293">
        <f t="shared" si="38"/>
        <v>0</v>
      </c>
      <c r="W119" s="230">
        <f t="shared" si="38"/>
        <v>0</v>
      </c>
      <c r="X119" s="293">
        <f t="shared" si="38"/>
        <v>0</v>
      </c>
      <c r="Y119" s="230">
        <f t="shared" si="38"/>
        <v>0</v>
      </c>
      <c r="Z119" s="293">
        <f t="shared" si="38"/>
        <v>0</v>
      </c>
    </row>
    <row r="120" spans="1:26" x14ac:dyDescent="0.2">
      <c r="A120" s="699"/>
      <c r="B120" s="272" t="s">
        <v>381</v>
      </c>
      <c r="C120" s="230">
        <f t="shared" ref="C120:Z120" si="39">C$14-C109</f>
        <v>0</v>
      </c>
      <c r="D120" s="293">
        <f t="shared" si="39"/>
        <v>0</v>
      </c>
      <c r="E120" s="230">
        <f t="shared" si="39"/>
        <v>0</v>
      </c>
      <c r="F120" s="293">
        <f t="shared" si="39"/>
        <v>0</v>
      </c>
      <c r="G120" s="230">
        <f t="shared" si="39"/>
        <v>0</v>
      </c>
      <c r="H120" s="293">
        <f t="shared" si="39"/>
        <v>0</v>
      </c>
      <c r="I120" s="230">
        <f t="shared" si="39"/>
        <v>0</v>
      </c>
      <c r="J120" s="293">
        <f t="shared" si="39"/>
        <v>0</v>
      </c>
      <c r="K120" s="230">
        <f t="shared" si="39"/>
        <v>0</v>
      </c>
      <c r="L120" s="293">
        <f t="shared" si="39"/>
        <v>0</v>
      </c>
      <c r="M120" s="230">
        <f t="shared" si="39"/>
        <v>0</v>
      </c>
      <c r="N120" s="293">
        <f t="shared" si="39"/>
        <v>0</v>
      </c>
      <c r="O120" s="230">
        <f t="shared" si="39"/>
        <v>0</v>
      </c>
      <c r="P120" s="293">
        <f t="shared" si="39"/>
        <v>0</v>
      </c>
      <c r="Q120" s="230">
        <f t="shared" si="39"/>
        <v>0</v>
      </c>
      <c r="R120" s="293">
        <f t="shared" si="39"/>
        <v>0</v>
      </c>
      <c r="S120" s="230">
        <f t="shared" si="39"/>
        <v>0</v>
      </c>
      <c r="T120" s="293">
        <f t="shared" si="39"/>
        <v>0</v>
      </c>
      <c r="U120" s="230">
        <f t="shared" si="39"/>
        <v>0</v>
      </c>
      <c r="V120" s="293">
        <f t="shared" si="39"/>
        <v>0</v>
      </c>
      <c r="W120" s="230">
        <f t="shared" si="39"/>
        <v>0</v>
      </c>
      <c r="X120" s="293">
        <f t="shared" si="39"/>
        <v>0</v>
      </c>
      <c r="Y120" s="230">
        <f t="shared" si="39"/>
        <v>0</v>
      </c>
      <c r="Z120" s="293">
        <f t="shared" si="39"/>
        <v>0</v>
      </c>
    </row>
    <row r="121" spans="1:26" s="20" customFormat="1" x14ac:dyDescent="0.2">
      <c r="A121" s="700"/>
      <c r="B121" s="274" t="s">
        <v>382</v>
      </c>
      <c r="C121" s="275">
        <f t="shared" ref="C121:Z121" si="40">C$15-C110</f>
        <v>12508</v>
      </c>
      <c r="D121" s="294">
        <f t="shared" si="40"/>
        <v>78.199999999999989</v>
      </c>
      <c r="E121" s="275">
        <f t="shared" si="40"/>
        <v>53662</v>
      </c>
      <c r="F121" s="294">
        <f t="shared" si="40"/>
        <v>59.699999999999989</v>
      </c>
      <c r="G121" s="275">
        <f t="shared" si="40"/>
        <v>20482</v>
      </c>
      <c r="H121" s="294">
        <f t="shared" si="40"/>
        <v>68.300000000000011</v>
      </c>
      <c r="I121" s="275">
        <f t="shared" si="40"/>
        <v>189069</v>
      </c>
      <c r="J121" s="294">
        <f t="shared" si="40"/>
        <v>52.5</v>
      </c>
      <c r="K121" s="275">
        <f t="shared" si="40"/>
        <v>144761</v>
      </c>
      <c r="L121" s="294">
        <f t="shared" si="40"/>
        <v>60.299999999999955</v>
      </c>
      <c r="M121" s="275">
        <f t="shared" si="40"/>
        <v>200054</v>
      </c>
      <c r="N121" s="294">
        <f t="shared" si="40"/>
        <v>55.599999999999966</v>
      </c>
      <c r="O121" s="275">
        <f t="shared" si="40"/>
        <v>198379</v>
      </c>
      <c r="P121" s="294">
        <f t="shared" si="40"/>
        <v>55.099999999999909</v>
      </c>
      <c r="Q121" s="275">
        <f t="shared" si="40"/>
        <v>144133</v>
      </c>
      <c r="R121" s="294">
        <f t="shared" si="40"/>
        <v>60</v>
      </c>
      <c r="S121" s="275">
        <f t="shared" si="40"/>
        <v>140517</v>
      </c>
      <c r="T121" s="294">
        <f t="shared" si="40"/>
        <v>58.5</v>
      </c>
      <c r="U121" s="275">
        <f t="shared" si="40"/>
        <v>236898</v>
      </c>
      <c r="V121" s="294">
        <f t="shared" si="40"/>
        <v>74</v>
      </c>
      <c r="W121" s="275">
        <f t="shared" si="40"/>
        <v>201853</v>
      </c>
      <c r="X121" s="294">
        <f t="shared" si="40"/>
        <v>56.100000000000023</v>
      </c>
      <c r="Y121" s="275">
        <f t="shared" si="40"/>
        <v>140235</v>
      </c>
      <c r="Z121" s="294">
        <f t="shared" si="40"/>
        <v>58.400000000000034</v>
      </c>
    </row>
    <row r="122" spans="1:26" s="20" customFormat="1" x14ac:dyDescent="0.2">
      <c r="A122" s="266"/>
      <c r="B122" s="227"/>
      <c r="C122" s="267"/>
      <c r="D122" s="232"/>
      <c r="E122" s="268"/>
      <c r="F122" s="237"/>
      <c r="G122" s="267"/>
      <c r="H122" s="232"/>
      <c r="I122" s="267"/>
      <c r="J122" s="232"/>
      <c r="K122" s="267"/>
      <c r="L122" s="232"/>
      <c r="M122" s="267"/>
      <c r="N122" s="232"/>
      <c r="O122" s="267"/>
      <c r="P122" s="232"/>
      <c r="Q122" s="267"/>
      <c r="R122" s="232"/>
      <c r="S122" s="267"/>
      <c r="T122" s="232"/>
      <c r="U122" s="267"/>
      <c r="V122" s="232"/>
      <c r="W122" s="267"/>
      <c r="X122" s="232"/>
      <c r="Y122" s="267"/>
      <c r="Z122" s="232"/>
    </row>
    <row r="123" spans="1:26" s="202" customFormat="1" ht="13.15" customHeight="1" x14ac:dyDescent="0.2">
      <c r="A123" s="698" t="s">
        <v>514</v>
      </c>
      <c r="B123" s="269" t="s">
        <v>488</v>
      </c>
      <c r="C123" s="304" t="s">
        <v>486</v>
      </c>
      <c r="D123" s="280" t="s">
        <v>487</v>
      </c>
      <c r="E123" s="304" t="s">
        <v>486</v>
      </c>
      <c r="F123" s="280" t="s">
        <v>487</v>
      </c>
      <c r="G123" s="304" t="s">
        <v>486</v>
      </c>
      <c r="H123" s="280" t="s">
        <v>487</v>
      </c>
      <c r="I123" s="304" t="s">
        <v>486</v>
      </c>
      <c r="J123" s="280" t="s">
        <v>487</v>
      </c>
      <c r="K123" s="304" t="s">
        <v>486</v>
      </c>
      <c r="L123" s="280" t="s">
        <v>487</v>
      </c>
      <c r="M123" s="304" t="s">
        <v>486</v>
      </c>
      <c r="N123" s="280" t="s">
        <v>487</v>
      </c>
      <c r="O123" s="304" t="s">
        <v>486</v>
      </c>
      <c r="P123" s="280" t="s">
        <v>487</v>
      </c>
      <c r="Q123" s="304" t="s">
        <v>486</v>
      </c>
      <c r="R123" s="280" t="s">
        <v>487</v>
      </c>
      <c r="S123" s="304" t="s">
        <v>486</v>
      </c>
      <c r="T123" s="280" t="s">
        <v>487</v>
      </c>
      <c r="U123" s="304" t="s">
        <v>486</v>
      </c>
      <c r="V123" s="280" t="s">
        <v>487</v>
      </c>
      <c r="W123" s="304" t="s">
        <v>486</v>
      </c>
      <c r="X123" s="280" t="s">
        <v>487</v>
      </c>
      <c r="Y123" s="304" t="s">
        <v>486</v>
      </c>
      <c r="Z123" s="314" t="s">
        <v>487</v>
      </c>
    </row>
    <row r="124" spans="1:26" x14ac:dyDescent="0.2">
      <c r="A124" s="699"/>
      <c r="B124" s="316" t="s">
        <v>14</v>
      </c>
      <c r="C124" s="305">
        <f>'6 Oversikt startpunkt'!B85</f>
        <v>0</v>
      </c>
      <c r="D124" s="399">
        <f>'7 Passivhusnivå'!C34</f>
        <v>0.85</v>
      </c>
      <c r="E124" s="209">
        <f>'6 Oversikt startpunkt'!C85</f>
        <v>0</v>
      </c>
      <c r="F124" s="209">
        <f>'7 Passivhusnivå'!D34</f>
        <v>0.85</v>
      </c>
      <c r="G124" s="305">
        <f>'6 Oversikt startpunkt'!D85</f>
        <v>0.5</v>
      </c>
      <c r="H124" s="399">
        <v>0.8</v>
      </c>
      <c r="I124" s="209">
        <f>'6 Oversikt startpunkt'!E85</f>
        <v>0.5</v>
      </c>
      <c r="J124" s="399">
        <v>0.8</v>
      </c>
      <c r="K124" s="305">
        <f>'6 Oversikt startpunkt'!F85</f>
        <v>0.5</v>
      </c>
      <c r="L124" s="399">
        <v>0.8</v>
      </c>
      <c r="M124" s="209">
        <f>'6 Oversikt startpunkt'!G85</f>
        <v>0.5</v>
      </c>
      <c r="N124" s="399">
        <v>0.8</v>
      </c>
      <c r="O124" s="305">
        <f>'6 Oversikt startpunkt'!H85</f>
        <v>0.5</v>
      </c>
      <c r="P124" s="399">
        <v>0.8</v>
      </c>
      <c r="Q124" s="209">
        <f>'6 Oversikt startpunkt'!I85</f>
        <v>0.5</v>
      </c>
      <c r="R124" s="399">
        <v>0.8</v>
      </c>
      <c r="S124" s="305">
        <f>'6 Oversikt startpunkt'!J85</f>
        <v>0.5</v>
      </c>
      <c r="T124" s="399">
        <v>0.8</v>
      </c>
      <c r="U124" s="209">
        <f>'6 Oversikt startpunkt'!K85</f>
        <v>0.5</v>
      </c>
      <c r="V124" s="399">
        <v>0.8</v>
      </c>
      <c r="W124" s="305">
        <f>'6 Oversikt startpunkt'!L85</f>
        <v>0.5</v>
      </c>
      <c r="X124" s="399">
        <v>0.8</v>
      </c>
      <c r="Y124" s="305">
        <f>'6 Oversikt startpunkt'!M85</f>
        <v>0.5</v>
      </c>
      <c r="Z124" s="399">
        <v>0.8</v>
      </c>
    </row>
    <row r="125" spans="1:26" x14ac:dyDescent="0.2">
      <c r="A125" s="699"/>
      <c r="B125" s="243" t="s">
        <v>510</v>
      </c>
      <c r="C125" s="305" t="str">
        <f>'6 Oversikt startpunkt'!B86</f>
        <v>Naturlig vent</v>
      </c>
      <c r="D125" s="399" t="str">
        <f>'7 Passivhusnivå'!C35</f>
        <v>Ingen</v>
      </c>
      <c r="E125" s="209" t="str">
        <f>'6 Oversikt startpunkt'!C86</f>
        <v>Naturlig vent</v>
      </c>
      <c r="F125" s="209" t="str">
        <f>'7 Passivhusnivå'!D35</f>
        <v>Ingen</v>
      </c>
      <c r="G125" s="305">
        <f>'6 Oversikt startpunkt'!D86</f>
        <v>-2</v>
      </c>
      <c r="H125" s="399" t="str">
        <f>'7 Passivhusnivå'!F35</f>
        <v>Ingen</v>
      </c>
      <c r="I125" s="209">
        <f>'6 Oversikt startpunkt'!E86</f>
        <v>-2</v>
      </c>
      <c r="J125" s="209" t="str">
        <f>'7 Passivhusnivå'!G35</f>
        <v>Ingen</v>
      </c>
      <c r="K125" s="305">
        <f>'6 Oversikt startpunkt'!F86</f>
        <v>-2</v>
      </c>
      <c r="L125" s="399" t="str">
        <f>'7 Passivhusnivå'!H35</f>
        <v>Ingen</v>
      </c>
      <c r="M125" s="209">
        <f>'6 Oversikt startpunkt'!G86</f>
        <v>-2</v>
      </c>
      <c r="N125" s="209" t="str">
        <f>'7 Passivhusnivå'!I35</f>
        <v>Ingen</v>
      </c>
      <c r="O125" s="305">
        <f>'6 Oversikt startpunkt'!H86</f>
        <v>-2</v>
      </c>
      <c r="P125" s="399" t="str">
        <f>'7 Passivhusnivå'!J35</f>
        <v>Ingen</v>
      </c>
      <c r="Q125" s="209">
        <f>'6 Oversikt startpunkt'!I86</f>
        <v>-2</v>
      </c>
      <c r="R125" s="209" t="str">
        <f>'7 Passivhusnivå'!K35</f>
        <v>Ingen</v>
      </c>
      <c r="S125" s="305">
        <f>'6 Oversikt startpunkt'!J86</f>
        <v>-2</v>
      </c>
      <c r="T125" s="399" t="str">
        <f>'7 Passivhusnivå'!L35</f>
        <v>Ingen</v>
      </c>
      <c r="U125" s="209">
        <f>'6 Oversikt startpunkt'!K86</f>
        <v>-2</v>
      </c>
      <c r="V125" s="209" t="str">
        <f>'7 Passivhusnivå'!M35</f>
        <v>Ingen</v>
      </c>
      <c r="W125" s="305">
        <f>'6 Oversikt startpunkt'!L86</f>
        <v>-2</v>
      </c>
      <c r="X125" s="367" t="str">
        <f>'7 Passivhusnivå'!N35</f>
        <v>Ingen</v>
      </c>
      <c r="Y125" s="305">
        <f>'6 Oversikt startpunkt'!M86</f>
        <v>-2</v>
      </c>
      <c r="Z125" s="399" t="str">
        <f>'7 Passivhusnivå'!O35</f>
        <v>Ingen</v>
      </c>
    </row>
    <row r="126" spans="1:26" x14ac:dyDescent="0.2">
      <c r="A126" s="699"/>
      <c r="B126" s="243" t="s">
        <v>283</v>
      </c>
      <c r="C126" s="305" t="str">
        <f>'6 Oversikt startpunkt'!B87</f>
        <v>Naturlig vent</v>
      </c>
      <c r="D126" s="399">
        <f>'7 Passivhusnivå'!C36</f>
        <v>1.5</v>
      </c>
      <c r="E126" s="209" t="str">
        <f>'6 Oversikt startpunkt'!C87</f>
        <v>Naturlig vent</v>
      </c>
      <c r="F126" s="209">
        <f>'7 Passivhusnivå'!D36</f>
        <v>1.5</v>
      </c>
      <c r="G126" s="367"/>
      <c r="H126" s="367"/>
      <c r="I126" s="311"/>
      <c r="J126" s="209"/>
      <c r="K126" s="311"/>
      <c r="L126" s="367"/>
      <c r="M126" s="311"/>
      <c r="N126" s="209"/>
      <c r="O126" s="305"/>
      <c r="P126" s="367"/>
      <c r="Q126" s="209"/>
      <c r="R126" s="209"/>
      <c r="S126" s="305"/>
      <c r="T126" s="367"/>
      <c r="U126" s="209"/>
      <c r="V126" s="209"/>
      <c r="W126" s="305"/>
      <c r="X126" s="367"/>
      <c r="Y126" s="305"/>
      <c r="Z126" s="399"/>
    </row>
    <row r="127" spans="1:26" s="216" customFormat="1" x14ac:dyDescent="0.2">
      <c r="A127" s="699"/>
      <c r="B127" s="288" t="s">
        <v>490</v>
      </c>
      <c r="C127" s="289" t="s">
        <v>372</v>
      </c>
      <c r="D127" s="290" t="s">
        <v>397</v>
      </c>
      <c r="E127" s="289" t="s">
        <v>372</v>
      </c>
      <c r="F127" s="291" t="s">
        <v>397</v>
      </c>
      <c r="G127" s="292" t="s">
        <v>372</v>
      </c>
      <c r="H127" s="290" t="s">
        <v>397</v>
      </c>
      <c r="I127" s="289" t="s">
        <v>372</v>
      </c>
      <c r="J127" s="291" t="s">
        <v>397</v>
      </c>
      <c r="K127" s="292" t="s">
        <v>372</v>
      </c>
      <c r="L127" s="290" t="s">
        <v>397</v>
      </c>
      <c r="M127" s="289" t="s">
        <v>372</v>
      </c>
      <c r="N127" s="290" t="s">
        <v>397</v>
      </c>
      <c r="O127" s="289" t="s">
        <v>372</v>
      </c>
      <c r="P127" s="290" t="s">
        <v>397</v>
      </c>
      <c r="Q127" s="289" t="s">
        <v>372</v>
      </c>
      <c r="R127" s="290" t="s">
        <v>397</v>
      </c>
      <c r="S127" s="289" t="s">
        <v>372</v>
      </c>
      <c r="T127" s="290" t="s">
        <v>397</v>
      </c>
      <c r="U127" s="289" t="s">
        <v>372</v>
      </c>
      <c r="V127" s="290" t="s">
        <v>397</v>
      </c>
      <c r="W127" s="289" t="s">
        <v>372</v>
      </c>
      <c r="X127" s="290" t="s">
        <v>397</v>
      </c>
      <c r="Y127" s="289" t="s">
        <v>372</v>
      </c>
      <c r="Z127" s="291" t="s">
        <v>397</v>
      </c>
    </row>
    <row r="128" spans="1:26" x14ac:dyDescent="0.2">
      <c r="A128" s="699"/>
      <c r="B128" s="272" t="s">
        <v>373</v>
      </c>
      <c r="C128" s="230">
        <v>62285</v>
      </c>
      <c r="D128" s="231">
        <v>389.3</v>
      </c>
      <c r="E128" s="230">
        <v>251589</v>
      </c>
      <c r="F128" s="273">
        <v>279.5</v>
      </c>
      <c r="G128" s="285">
        <v>116565</v>
      </c>
      <c r="H128" s="231">
        <v>388.5</v>
      </c>
      <c r="I128" s="230">
        <v>695708</v>
      </c>
      <c r="J128" s="273">
        <v>193.3</v>
      </c>
      <c r="K128" s="285">
        <v>569981</v>
      </c>
      <c r="L128" s="231">
        <v>237.5</v>
      </c>
      <c r="M128" s="230">
        <v>760868</v>
      </c>
      <c r="N128" s="231">
        <v>211.4</v>
      </c>
      <c r="O128" s="230">
        <v>1003762</v>
      </c>
      <c r="P128" s="231">
        <v>278.8</v>
      </c>
      <c r="Q128" s="230">
        <v>505356</v>
      </c>
      <c r="R128" s="231">
        <v>210.6</v>
      </c>
      <c r="S128" s="230">
        <v>693757</v>
      </c>
      <c r="T128" s="231">
        <v>289.10000000000002</v>
      </c>
      <c r="U128" s="230">
        <v>1242537</v>
      </c>
      <c r="V128" s="231">
        <v>388.3</v>
      </c>
      <c r="W128" s="230">
        <v>845529</v>
      </c>
      <c r="X128" s="231">
        <v>234.9</v>
      </c>
      <c r="Y128" s="230">
        <v>731311</v>
      </c>
      <c r="Z128" s="273">
        <v>304.7</v>
      </c>
    </row>
    <row r="129" spans="1:26" x14ac:dyDescent="0.2">
      <c r="A129" s="699"/>
      <c r="B129" s="272" t="s">
        <v>374</v>
      </c>
      <c r="C129" s="230">
        <v>0</v>
      </c>
      <c r="D129" s="231">
        <v>0</v>
      </c>
      <c r="E129" s="230">
        <v>0</v>
      </c>
      <c r="F129" s="273">
        <v>0</v>
      </c>
      <c r="G129" s="285">
        <v>1381</v>
      </c>
      <c r="H129" s="231">
        <v>4.5999999999999996</v>
      </c>
      <c r="I129" s="230">
        <v>16106</v>
      </c>
      <c r="J129" s="273">
        <v>4.5</v>
      </c>
      <c r="K129" s="285">
        <v>13620</v>
      </c>
      <c r="L129" s="231">
        <v>5.7</v>
      </c>
      <c r="M129" s="230">
        <v>20950</v>
      </c>
      <c r="N129" s="231">
        <v>5.8</v>
      </c>
      <c r="O129" s="230">
        <v>48988</v>
      </c>
      <c r="P129" s="231">
        <v>13.6</v>
      </c>
      <c r="Q129" s="230">
        <v>29123</v>
      </c>
      <c r="R129" s="231">
        <v>12.1</v>
      </c>
      <c r="S129" s="230">
        <v>18298</v>
      </c>
      <c r="T129" s="231">
        <v>7.6</v>
      </c>
      <c r="U129" s="230">
        <v>54956</v>
      </c>
      <c r="V129" s="231">
        <v>17.2</v>
      </c>
      <c r="W129" s="230">
        <v>36003</v>
      </c>
      <c r="X129" s="231">
        <v>10</v>
      </c>
      <c r="Y129" s="230">
        <v>11263</v>
      </c>
      <c r="Z129" s="273">
        <v>4.7</v>
      </c>
    </row>
    <row r="130" spans="1:26" x14ac:dyDescent="0.2">
      <c r="A130" s="699"/>
      <c r="B130" s="272" t="s">
        <v>375</v>
      </c>
      <c r="C130" s="230">
        <v>4765</v>
      </c>
      <c r="D130" s="231">
        <v>29.8</v>
      </c>
      <c r="E130" s="230">
        <v>26792</v>
      </c>
      <c r="F130" s="273">
        <v>29.8</v>
      </c>
      <c r="G130" s="285">
        <v>3007</v>
      </c>
      <c r="H130" s="231">
        <v>10</v>
      </c>
      <c r="I130" s="230">
        <v>18040</v>
      </c>
      <c r="J130" s="273">
        <v>5</v>
      </c>
      <c r="K130" s="285">
        <v>23530</v>
      </c>
      <c r="L130" s="231">
        <v>9.8000000000000007</v>
      </c>
      <c r="M130" s="230">
        <v>18040</v>
      </c>
      <c r="N130" s="231">
        <v>5</v>
      </c>
      <c r="O130" s="230">
        <v>107170</v>
      </c>
      <c r="P130" s="231">
        <v>29.8</v>
      </c>
      <c r="Q130" s="230">
        <v>71482</v>
      </c>
      <c r="R130" s="231">
        <v>29.8</v>
      </c>
      <c r="S130" s="230">
        <v>71482</v>
      </c>
      <c r="T130" s="231">
        <v>29.8</v>
      </c>
      <c r="U130" s="230">
        <v>156864</v>
      </c>
      <c r="V130" s="231">
        <v>49</v>
      </c>
      <c r="W130" s="230">
        <v>36408</v>
      </c>
      <c r="X130" s="231">
        <v>10.1</v>
      </c>
      <c r="Y130" s="230">
        <v>24054</v>
      </c>
      <c r="Z130" s="273">
        <v>10</v>
      </c>
    </row>
    <row r="131" spans="1:26" x14ac:dyDescent="0.2">
      <c r="A131" s="699"/>
      <c r="B131" s="272" t="s">
        <v>376</v>
      </c>
      <c r="C131" s="230">
        <v>701</v>
      </c>
      <c r="D131" s="231">
        <v>4.4000000000000004</v>
      </c>
      <c r="E131" s="230">
        <v>4925</v>
      </c>
      <c r="F131" s="273">
        <v>5.5</v>
      </c>
      <c r="G131" s="285">
        <v>13572</v>
      </c>
      <c r="H131" s="231">
        <v>45.2</v>
      </c>
      <c r="I131" s="230">
        <v>156600</v>
      </c>
      <c r="J131" s="273">
        <v>43.5</v>
      </c>
      <c r="K131" s="285">
        <v>119244</v>
      </c>
      <c r="L131" s="231">
        <v>49.7</v>
      </c>
      <c r="M131" s="230">
        <v>203537</v>
      </c>
      <c r="N131" s="231">
        <v>56.5</v>
      </c>
      <c r="O131" s="230">
        <v>454117</v>
      </c>
      <c r="P131" s="231">
        <v>126.1</v>
      </c>
      <c r="Q131" s="230">
        <v>265534</v>
      </c>
      <c r="R131" s="231">
        <v>110.6</v>
      </c>
      <c r="S131" s="230">
        <v>184952</v>
      </c>
      <c r="T131" s="231">
        <v>77.099999999999994</v>
      </c>
      <c r="U131" s="230">
        <v>137588</v>
      </c>
      <c r="V131" s="231">
        <v>43</v>
      </c>
      <c r="W131" s="230">
        <v>374400</v>
      </c>
      <c r="X131" s="231">
        <v>104</v>
      </c>
      <c r="Y131" s="230">
        <v>116928</v>
      </c>
      <c r="Z131" s="273">
        <v>48.7</v>
      </c>
    </row>
    <row r="132" spans="1:26" x14ac:dyDescent="0.2">
      <c r="A132" s="699"/>
      <c r="B132" s="272" t="s">
        <v>377</v>
      </c>
      <c r="C132" s="230">
        <v>226</v>
      </c>
      <c r="D132" s="231">
        <v>1.4</v>
      </c>
      <c r="E132" s="230">
        <v>943</v>
      </c>
      <c r="F132" s="273">
        <v>1</v>
      </c>
      <c r="G132" s="285">
        <v>465</v>
      </c>
      <c r="H132" s="231">
        <v>1.5</v>
      </c>
      <c r="I132" s="230">
        <v>7612</v>
      </c>
      <c r="J132" s="273">
        <v>2.1</v>
      </c>
      <c r="K132" s="285">
        <v>2746</v>
      </c>
      <c r="L132" s="231">
        <v>1.1000000000000001</v>
      </c>
      <c r="M132" s="230">
        <v>8516</v>
      </c>
      <c r="N132" s="231">
        <v>2.4</v>
      </c>
      <c r="O132" s="230">
        <v>10587</v>
      </c>
      <c r="P132" s="231">
        <v>2.9</v>
      </c>
      <c r="Q132" s="230">
        <v>2375</v>
      </c>
      <c r="R132" s="231">
        <v>1</v>
      </c>
      <c r="S132" s="230">
        <v>6251</v>
      </c>
      <c r="T132" s="231">
        <v>2.6</v>
      </c>
      <c r="U132" s="230">
        <v>5462</v>
      </c>
      <c r="V132" s="231">
        <v>1.7</v>
      </c>
      <c r="W132" s="230">
        <v>12011</v>
      </c>
      <c r="X132" s="231">
        <v>3.3</v>
      </c>
      <c r="Y132" s="230">
        <v>6060</v>
      </c>
      <c r="Z132" s="273">
        <v>2.5</v>
      </c>
    </row>
    <row r="133" spans="1:26" x14ac:dyDescent="0.2">
      <c r="A133" s="699"/>
      <c r="B133" s="272" t="s">
        <v>378</v>
      </c>
      <c r="C133" s="230">
        <v>2164</v>
      </c>
      <c r="D133" s="231">
        <v>13.5</v>
      </c>
      <c r="E133" s="230">
        <v>12175</v>
      </c>
      <c r="F133" s="273">
        <v>13.5</v>
      </c>
      <c r="G133" s="285">
        <v>15269</v>
      </c>
      <c r="H133" s="231">
        <v>50.9</v>
      </c>
      <c r="I133" s="230">
        <v>211453</v>
      </c>
      <c r="J133" s="273">
        <v>58.7</v>
      </c>
      <c r="K133" s="285">
        <v>125759</v>
      </c>
      <c r="L133" s="231">
        <v>52.4</v>
      </c>
      <c r="M133" s="230">
        <v>211453</v>
      </c>
      <c r="N133" s="231">
        <v>58.7</v>
      </c>
      <c r="O133" s="230">
        <v>374581</v>
      </c>
      <c r="P133" s="231">
        <v>104.1</v>
      </c>
      <c r="Q133" s="230">
        <v>249557</v>
      </c>
      <c r="R133" s="231">
        <v>104</v>
      </c>
      <c r="S133" s="230">
        <v>249557</v>
      </c>
      <c r="T133" s="231">
        <v>104</v>
      </c>
      <c r="U133" s="230">
        <v>154800</v>
      </c>
      <c r="V133" s="231">
        <v>48.4</v>
      </c>
      <c r="W133" s="230">
        <v>473873</v>
      </c>
      <c r="X133" s="231">
        <v>131.6</v>
      </c>
      <c r="Y133" s="230">
        <v>131544</v>
      </c>
      <c r="Z133" s="273">
        <v>54.8</v>
      </c>
    </row>
    <row r="134" spans="1:26" x14ac:dyDescent="0.2">
      <c r="A134" s="699"/>
      <c r="B134" s="272" t="s">
        <v>379</v>
      </c>
      <c r="C134" s="230">
        <v>3329</v>
      </c>
      <c r="D134" s="231">
        <v>20.8</v>
      </c>
      <c r="E134" s="230">
        <v>18727</v>
      </c>
      <c r="F134" s="273">
        <v>20.8</v>
      </c>
      <c r="G134" s="285">
        <v>2036</v>
      </c>
      <c r="H134" s="231">
        <v>6.8</v>
      </c>
      <c r="I134" s="230">
        <v>155070</v>
      </c>
      <c r="J134" s="273">
        <v>43.1</v>
      </c>
      <c r="K134" s="285">
        <v>40248</v>
      </c>
      <c r="L134" s="231">
        <v>16.8</v>
      </c>
      <c r="M134" s="230">
        <v>155070</v>
      </c>
      <c r="N134" s="231">
        <v>43.1</v>
      </c>
      <c r="O134" s="230">
        <v>199728</v>
      </c>
      <c r="P134" s="231">
        <v>55.5</v>
      </c>
      <c r="Q134" s="230">
        <v>66576</v>
      </c>
      <c r="R134" s="231">
        <v>27.7</v>
      </c>
      <c r="S134" s="230">
        <v>16644</v>
      </c>
      <c r="T134" s="231">
        <v>6.9</v>
      </c>
      <c r="U134" s="230">
        <v>10320</v>
      </c>
      <c r="V134" s="231">
        <v>3.2</v>
      </c>
      <c r="W134" s="230">
        <v>16848</v>
      </c>
      <c r="X134" s="231">
        <v>4.7</v>
      </c>
      <c r="Y134" s="230">
        <v>8770</v>
      </c>
      <c r="Z134" s="273">
        <v>3.7</v>
      </c>
    </row>
    <row r="135" spans="1:26" x14ac:dyDescent="0.2">
      <c r="A135" s="699"/>
      <c r="B135" s="272" t="s">
        <v>380</v>
      </c>
      <c r="C135" s="230">
        <v>0</v>
      </c>
      <c r="D135" s="231">
        <v>0</v>
      </c>
      <c r="E135" s="235">
        <v>0</v>
      </c>
      <c r="F135" s="273">
        <v>0</v>
      </c>
      <c r="G135" s="285">
        <v>0</v>
      </c>
      <c r="H135" s="231">
        <v>0</v>
      </c>
      <c r="I135" s="230">
        <v>0</v>
      </c>
      <c r="J135" s="273">
        <v>0</v>
      </c>
      <c r="K135" s="285">
        <v>0</v>
      </c>
      <c r="L135" s="231">
        <v>0</v>
      </c>
      <c r="M135" s="230">
        <v>0</v>
      </c>
      <c r="N135" s="231">
        <v>0</v>
      </c>
      <c r="O135" s="230">
        <v>0</v>
      </c>
      <c r="P135" s="231">
        <v>0</v>
      </c>
      <c r="Q135" s="230">
        <v>0</v>
      </c>
      <c r="R135" s="231">
        <v>0</v>
      </c>
      <c r="S135" s="230">
        <v>0</v>
      </c>
      <c r="T135" s="231">
        <v>0</v>
      </c>
      <c r="U135" s="230">
        <v>0</v>
      </c>
      <c r="V135" s="231">
        <v>0</v>
      </c>
      <c r="W135" s="230">
        <v>0</v>
      </c>
      <c r="X135" s="231">
        <v>0</v>
      </c>
      <c r="Y135" s="230">
        <v>0</v>
      </c>
      <c r="Z135" s="273">
        <v>0</v>
      </c>
    </row>
    <row r="136" spans="1:26" x14ac:dyDescent="0.2">
      <c r="A136" s="699"/>
      <c r="B136" s="272" t="s">
        <v>381</v>
      </c>
      <c r="C136" s="230">
        <v>0</v>
      </c>
      <c r="D136" s="231">
        <v>0</v>
      </c>
      <c r="E136" s="235">
        <v>0</v>
      </c>
      <c r="F136" s="273">
        <v>0</v>
      </c>
      <c r="G136" s="285">
        <v>0</v>
      </c>
      <c r="H136" s="231">
        <v>0</v>
      </c>
      <c r="I136" s="230">
        <v>27840</v>
      </c>
      <c r="J136" s="273">
        <v>7.7</v>
      </c>
      <c r="K136" s="285">
        <v>0</v>
      </c>
      <c r="L136" s="231">
        <v>0</v>
      </c>
      <c r="M136" s="230">
        <v>35848</v>
      </c>
      <c r="N136" s="231">
        <v>10</v>
      </c>
      <c r="O136" s="230">
        <v>68351</v>
      </c>
      <c r="P136" s="231">
        <v>19</v>
      </c>
      <c r="Q136" s="230">
        <v>0</v>
      </c>
      <c r="R136" s="231">
        <v>0</v>
      </c>
      <c r="S136" s="230">
        <v>29653</v>
      </c>
      <c r="T136" s="231">
        <v>12.4</v>
      </c>
      <c r="U136" s="230">
        <v>0</v>
      </c>
      <c r="V136" s="231">
        <v>0</v>
      </c>
      <c r="W136" s="230">
        <v>70164</v>
      </c>
      <c r="X136" s="231">
        <v>19.5</v>
      </c>
      <c r="Y136" s="230">
        <v>22221</v>
      </c>
      <c r="Z136" s="273">
        <v>9.3000000000000007</v>
      </c>
    </row>
    <row r="137" spans="1:26" s="20" customFormat="1" x14ac:dyDescent="0.2">
      <c r="A137" s="699"/>
      <c r="B137" s="274" t="s">
        <v>382</v>
      </c>
      <c r="C137" s="275">
        <v>73471</v>
      </c>
      <c r="D137" s="276">
        <v>459.2</v>
      </c>
      <c r="E137" s="277">
        <v>315153</v>
      </c>
      <c r="F137" s="287">
        <v>350.2</v>
      </c>
      <c r="G137" s="286">
        <v>152293</v>
      </c>
      <c r="H137" s="276">
        <v>507.6</v>
      </c>
      <c r="I137" s="275">
        <v>1288428</v>
      </c>
      <c r="J137" s="279">
        <v>357.9</v>
      </c>
      <c r="K137" s="286">
        <v>895127</v>
      </c>
      <c r="L137" s="276">
        <v>373</v>
      </c>
      <c r="M137" s="275">
        <v>1414281</v>
      </c>
      <c r="N137" s="276">
        <v>392.9</v>
      </c>
      <c r="O137" s="275">
        <v>2267285</v>
      </c>
      <c r="P137" s="276">
        <v>629.79999999999995</v>
      </c>
      <c r="Q137" s="275">
        <v>1190003</v>
      </c>
      <c r="R137" s="276">
        <v>495.8</v>
      </c>
      <c r="S137" s="275">
        <v>1270594</v>
      </c>
      <c r="T137" s="276">
        <v>529.4</v>
      </c>
      <c r="U137" s="275">
        <v>1762527</v>
      </c>
      <c r="V137" s="276">
        <v>550.79999999999995</v>
      </c>
      <c r="W137" s="275">
        <v>1865235</v>
      </c>
      <c r="X137" s="276">
        <v>518.1</v>
      </c>
      <c r="Y137" s="275">
        <v>1052151</v>
      </c>
      <c r="Z137" s="279">
        <v>438.4</v>
      </c>
    </row>
    <row r="138" spans="1:26" s="216" customFormat="1" x14ac:dyDescent="0.2">
      <c r="A138" s="699"/>
      <c r="B138" s="283" t="s">
        <v>491</v>
      </c>
      <c r="C138" s="289" t="s">
        <v>372</v>
      </c>
      <c r="D138" s="291" t="s">
        <v>397</v>
      </c>
      <c r="E138" s="289" t="s">
        <v>372</v>
      </c>
      <c r="F138" s="291" t="s">
        <v>397</v>
      </c>
      <c r="G138" s="289" t="s">
        <v>372</v>
      </c>
      <c r="H138" s="291" t="s">
        <v>397</v>
      </c>
      <c r="I138" s="289" t="s">
        <v>372</v>
      </c>
      <c r="J138" s="291" t="s">
        <v>397</v>
      </c>
      <c r="K138" s="289" t="s">
        <v>372</v>
      </c>
      <c r="L138" s="291" t="s">
        <v>397</v>
      </c>
      <c r="M138" s="289" t="s">
        <v>372</v>
      </c>
      <c r="N138" s="291" t="s">
        <v>397</v>
      </c>
      <c r="O138" s="289" t="s">
        <v>372</v>
      </c>
      <c r="P138" s="291" t="s">
        <v>397</v>
      </c>
      <c r="Q138" s="289" t="s">
        <v>372</v>
      </c>
      <c r="R138" s="291" t="s">
        <v>397</v>
      </c>
      <c r="S138" s="289" t="s">
        <v>372</v>
      </c>
      <c r="T138" s="291" t="s">
        <v>397</v>
      </c>
      <c r="U138" s="289" t="s">
        <v>372</v>
      </c>
      <c r="V138" s="291" t="s">
        <v>397</v>
      </c>
      <c r="W138" s="289" t="s">
        <v>372</v>
      </c>
      <c r="X138" s="291" t="s">
        <v>397</v>
      </c>
      <c r="Y138" s="289" t="s">
        <v>372</v>
      </c>
      <c r="Z138" s="291" t="s">
        <v>397</v>
      </c>
    </row>
    <row r="139" spans="1:26" x14ac:dyDescent="0.2">
      <c r="A139" s="699"/>
      <c r="B139" s="272" t="s">
        <v>373</v>
      </c>
      <c r="C139" s="230">
        <f>C$6-C128</f>
        <v>3062</v>
      </c>
      <c r="D139" s="293">
        <f t="shared" ref="D139:Z139" si="41">D$6-D128</f>
        <v>19.099999999999966</v>
      </c>
      <c r="E139" s="230">
        <f t="shared" si="41"/>
        <v>40749</v>
      </c>
      <c r="F139" s="293">
        <f t="shared" si="41"/>
        <v>45.300000000000011</v>
      </c>
      <c r="G139" s="230">
        <f t="shared" si="41"/>
        <v>56</v>
      </c>
      <c r="H139" s="293">
        <f t="shared" si="41"/>
        <v>0.19999999999998863</v>
      </c>
      <c r="I139" s="230">
        <f t="shared" si="41"/>
        <v>0</v>
      </c>
      <c r="J139" s="293">
        <f t="shared" si="41"/>
        <v>0</v>
      </c>
      <c r="K139" s="230">
        <f t="shared" si="41"/>
        <v>11237</v>
      </c>
      <c r="L139" s="293">
        <f t="shared" si="41"/>
        <v>4.6999999999999886</v>
      </c>
      <c r="M139" s="230">
        <f t="shared" si="41"/>
        <v>0</v>
      </c>
      <c r="N139" s="293">
        <f t="shared" si="41"/>
        <v>0</v>
      </c>
      <c r="O139" s="230">
        <f t="shared" si="41"/>
        <v>0</v>
      </c>
      <c r="P139" s="293">
        <f t="shared" si="41"/>
        <v>0</v>
      </c>
      <c r="Q139" s="230">
        <f t="shared" si="41"/>
        <v>0</v>
      </c>
      <c r="R139" s="293">
        <f t="shared" si="41"/>
        <v>0</v>
      </c>
      <c r="S139" s="230">
        <f t="shared" si="41"/>
        <v>2517</v>
      </c>
      <c r="T139" s="293">
        <f t="shared" si="41"/>
        <v>1</v>
      </c>
      <c r="U139" s="230">
        <f t="shared" si="41"/>
        <v>1865</v>
      </c>
      <c r="V139" s="293">
        <f t="shared" si="41"/>
        <v>0.59999999999996589</v>
      </c>
      <c r="W139" s="230">
        <f t="shared" si="41"/>
        <v>16341</v>
      </c>
      <c r="X139" s="293">
        <f t="shared" si="41"/>
        <v>4.5</v>
      </c>
      <c r="Y139" s="230">
        <f t="shared" si="41"/>
        <v>0</v>
      </c>
      <c r="Z139" s="293">
        <f t="shared" si="41"/>
        <v>0</v>
      </c>
    </row>
    <row r="140" spans="1:26" x14ac:dyDescent="0.2">
      <c r="A140" s="699"/>
      <c r="B140" s="272" t="s">
        <v>374</v>
      </c>
      <c r="C140" s="230">
        <f t="shared" ref="C140:Z140" si="42">C$7-C129</f>
        <v>0</v>
      </c>
      <c r="D140" s="293">
        <f t="shared" si="42"/>
        <v>0</v>
      </c>
      <c r="E140" s="230">
        <f t="shared" si="42"/>
        <v>0</v>
      </c>
      <c r="F140" s="293">
        <f t="shared" si="42"/>
        <v>0</v>
      </c>
      <c r="G140" s="230">
        <f t="shared" si="42"/>
        <v>19312</v>
      </c>
      <c r="H140" s="293">
        <f t="shared" si="42"/>
        <v>64.400000000000006</v>
      </c>
      <c r="I140" s="230">
        <f t="shared" si="42"/>
        <v>201512</v>
      </c>
      <c r="J140" s="293">
        <f t="shared" si="42"/>
        <v>55.9</v>
      </c>
      <c r="K140" s="230">
        <f t="shared" si="42"/>
        <v>181164</v>
      </c>
      <c r="L140" s="293">
        <f t="shared" si="42"/>
        <v>75.5</v>
      </c>
      <c r="M140" s="230">
        <f t="shared" si="42"/>
        <v>262489</v>
      </c>
      <c r="N140" s="293">
        <f t="shared" si="42"/>
        <v>72.900000000000006</v>
      </c>
      <c r="O140" s="230">
        <f t="shared" si="42"/>
        <v>603042</v>
      </c>
      <c r="P140" s="293">
        <f t="shared" si="42"/>
        <v>167.5</v>
      </c>
      <c r="Q140" s="230">
        <f t="shared" si="42"/>
        <v>402310</v>
      </c>
      <c r="R140" s="293">
        <f t="shared" si="42"/>
        <v>167.70000000000002</v>
      </c>
      <c r="S140" s="230">
        <f t="shared" si="42"/>
        <v>235689</v>
      </c>
      <c r="T140" s="293">
        <f t="shared" si="42"/>
        <v>98.2</v>
      </c>
      <c r="U140" s="230">
        <f t="shared" si="42"/>
        <v>221668</v>
      </c>
      <c r="V140" s="293">
        <f t="shared" si="42"/>
        <v>69.2</v>
      </c>
      <c r="W140" s="230">
        <f t="shared" si="42"/>
        <v>457749</v>
      </c>
      <c r="X140" s="293">
        <f t="shared" si="42"/>
        <v>127.19999999999999</v>
      </c>
      <c r="Y140" s="230">
        <f t="shared" si="42"/>
        <v>148368</v>
      </c>
      <c r="Z140" s="293">
        <f t="shared" si="42"/>
        <v>61.8</v>
      </c>
    </row>
    <row r="141" spans="1:26" x14ac:dyDescent="0.2">
      <c r="A141" s="699"/>
      <c r="B141" s="272" t="s">
        <v>375</v>
      </c>
      <c r="C141" s="230">
        <f>C$8-C130</f>
        <v>0</v>
      </c>
      <c r="D141" s="293">
        <f t="shared" ref="D141:Z141" si="43">D$8-D130</f>
        <v>0</v>
      </c>
      <c r="E141" s="230">
        <f t="shared" si="43"/>
        <v>0</v>
      </c>
      <c r="F141" s="293">
        <f t="shared" si="43"/>
        <v>0</v>
      </c>
      <c r="G141" s="230">
        <f t="shared" si="43"/>
        <v>0</v>
      </c>
      <c r="H141" s="293">
        <f t="shared" si="43"/>
        <v>0</v>
      </c>
      <c r="I141" s="230">
        <f t="shared" si="43"/>
        <v>0</v>
      </c>
      <c r="J141" s="293">
        <f t="shared" si="43"/>
        <v>0</v>
      </c>
      <c r="K141" s="230">
        <f t="shared" si="43"/>
        <v>0</v>
      </c>
      <c r="L141" s="293">
        <f t="shared" si="43"/>
        <v>0</v>
      </c>
      <c r="M141" s="230">
        <f t="shared" si="43"/>
        <v>0</v>
      </c>
      <c r="N141" s="293">
        <f t="shared" si="43"/>
        <v>0</v>
      </c>
      <c r="O141" s="230">
        <f t="shared" si="43"/>
        <v>0</v>
      </c>
      <c r="P141" s="293">
        <f t="shared" si="43"/>
        <v>0</v>
      </c>
      <c r="Q141" s="230">
        <f t="shared" si="43"/>
        <v>0</v>
      </c>
      <c r="R141" s="293">
        <f t="shared" si="43"/>
        <v>0</v>
      </c>
      <c r="S141" s="230">
        <f t="shared" si="43"/>
        <v>0</v>
      </c>
      <c r="T141" s="293">
        <f t="shared" si="43"/>
        <v>0</v>
      </c>
      <c r="U141" s="230">
        <f t="shared" si="43"/>
        <v>0</v>
      </c>
      <c r="V141" s="293">
        <f t="shared" si="43"/>
        <v>0</v>
      </c>
      <c r="W141" s="230">
        <f t="shared" si="43"/>
        <v>0</v>
      </c>
      <c r="X141" s="293">
        <f t="shared" si="43"/>
        <v>0</v>
      </c>
      <c r="Y141" s="230">
        <f t="shared" si="43"/>
        <v>0</v>
      </c>
      <c r="Z141" s="293">
        <f t="shared" si="43"/>
        <v>0</v>
      </c>
    </row>
    <row r="142" spans="1:26" x14ac:dyDescent="0.2">
      <c r="A142" s="699"/>
      <c r="B142" s="272" t="s">
        <v>376</v>
      </c>
      <c r="C142" s="230">
        <f t="shared" ref="C142:Z142" si="44">C$9-C131</f>
        <v>-701</v>
      </c>
      <c r="D142" s="293">
        <f t="shared" si="44"/>
        <v>-4.4000000000000004</v>
      </c>
      <c r="E142" s="230">
        <f t="shared" si="44"/>
        <v>-4925</v>
      </c>
      <c r="F142" s="293">
        <f t="shared" si="44"/>
        <v>-5.5</v>
      </c>
      <c r="G142" s="230">
        <f t="shared" si="44"/>
        <v>0</v>
      </c>
      <c r="H142" s="293">
        <f t="shared" si="44"/>
        <v>0</v>
      </c>
      <c r="I142" s="230">
        <f t="shared" si="44"/>
        <v>0</v>
      </c>
      <c r="J142" s="293">
        <f t="shared" si="44"/>
        <v>0</v>
      </c>
      <c r="K142" s="230">
        <f t="shared" si="44"/>
        <v>0</v>
      </c>
      <c r="L142" s="293">
        <f t="shared" si="44"/>
        <v>0</v>
      </c>
      <c r="M142" s="230">
        <f t="shared" si="44"/>
        <v>0</v>
      </c>
      <c r="N142" s="293">
        <f t="shared" si="44"/>
        <v>0</v>
      </c>
      <c r="O142" s="230">
        <f t="shared" si="44"/>
        <v>0</v>
      </c>
      <c r="P142" s="293">
        <f t="shared" si="44"/>
        <v>0</v>
      </c>
      <c r="Q142" s="230">
        <f t="shared" si="44"/>
        <v>0</v>
      </c>
      <c r="R142" s="293">
        <f t="shared" si="44"/>
        <v>0</v>
      </c>
      <c r="S142" s="230">
        <f t="shared" si="44"/>
        <v>0</v>
      </c>
      <c r="T142" s="293">
        <f t="shared" si="44"/>
        <v>0</v>
      </c>
      <c r="U142" s="230">
        <f t="shared" si="44"/>
        <v>0</v>
      </c>
      <c r="V142" s="293">
        <f t="shared" si="44"/>
        <v>0</v>
      </c>
      <c r="W142" s="230">
        <f t="shared" si="44"/>
        <v>0</v>
      </c>
      <c r="X142" s="293">
        <f t="shared" si="44"/>
        <v>0</v>
      </c>
      <c r="Y142" s="230">
        <f t="shared" si="44"/>
        <v>0</v>
      </c>
      <c r="Z142" s="293">
        <f t="shared" si="44"/>
        <v>0</v>
      </c>
    </row>
    <row r="143" spans="1:26" x14ac:dyDescent="0.2">
      <c r="A143" s="699"/>
      <c r="B143" s="272" t="s">
        <v>377</v>
      </c>
      <c r="C143" s="230">
        <f t="shared" ref="C143:Z143" si="45">C$10-C132</f>
        <v>6</v>
      </c>
      <c r="D143" s="293">
        <f t="shared" si="45"/>
        <v>0</v>
      </c>
      <c r="E143" s="230">
        <f t="shared" si="45"/>
        <v>159</v>
      </c>
      <c r="F143" s="293">
        <f t="shared" si="45"/>
        <v>0.19999999999999996</v>
      </c>
      <c r="G143" s="230">
        <f t="shared" si="45"/>
        <v>120</v>
      </c>
      <c r="H143" s="293">
        <f t="shared" si="45"/>
        <v>0.5</v>
      </c>
      <c r="I143" s="230">
        <f t="shared" si="45"/>
        <v>1170</v>
      </c>
      <c r="J143" s="293">
        <f t="shared" si="45"/>
        <v>0.29999999999999982</v>
      </c>
      <c r="K143" s="230">
        <f t="shared" si="45"/>
        <v>1889</v>
      </c>
      <c r="L143" s="293">
        <f t="shared" si="45"/>
        <v>0.79999999999999982</v>
      </c>
      <c r="M143" s="230">
        <f t="shared" si="45"/>
        <v>1521</v>
      </c>
      <c r="N143" s="293">
        <f t="shared" si="45"/>
        <v>0.39999999999999991</v>
      </c>
      <c r="O143" s="230">
        <f t="shared" si="45"/>
        <v>1649</v>
      </c>
      <c r="P143" s="293">
        <f t="shared" si="45"/>
        <v>0.5</v>
      </c>
      <c r="Q143" s="230">
        <f t="shared" si="45"/>
        <v>1304</v>
      </c>
      <c r="R143" s="293">
        <f t="shared" si="45"/>
        <v>0.5</v>
      </c>
      <c r="S143" s="230">
        <f t="shared" si="45"/>
        <v>873</v>
      </c>
      <c r="T143" s="293">
        <f t="shared" si="45"/>
        <v>0.39999999999999991</v>
      </c>
      <c r="U143" s="230">
        <f t="shared" si="45"/>
        <v>780</v>
      </c>
      <c r="V143" s="293">
        <f t="shared" si="45"/>
        <v>0.30000000000000004</v>
      </c>
      <c r="W143" s="230">
        <f t="shared" si="45"/>
        <v>2024</v>
      </c>
      <c r="X143" s="293">
        <f t="shared" si="45"/>
        <v>0.60000000000000009</v>
      </c>
      <c r="Y143" s="230">
        <f t="shared" si="45"/>
        <v>920</v>
      </c>
      <c r="Z143" s="293">
        <f t="shared" si="45"/>
        <v>0.39999999999999991</v>
      </c>
    </row>
    <row r="144" spans="1:26" x14ac:dyDescent="0.2">
      <c r="A144" s="699"/>
      <c r="B144" s="272" t="s">
        <v>378</v>
      </c>
      <c r="C144" s="230">
        <f t="shared" ref="C144:Z144" si="46">C$11-C133</f>
        <v>0</v>
      </c>
      <c r="D144" s="293">
        <f t="shared" si="46"/>
        <v>0</v>
      </c>
      <c r="E144" s="230">
        <f t="shared" si="46"/>
        <v>0</v>
      </c>
      <c r="F144" s="293">
        <f t="shared" si="46"/>
        <v>0</v>
      </c>
      <c r="G144" s="230">
        <f t="shared" si="46"/>
        <v>0</v>
      </c>
      <c r="H144" s="293">
        <f t="shared" si="46"/>
        <v>0</v>
      </c>
      <c r="I144" s="230">
        <f t="shared" si="46"/>
        <v>0</v>
      </c>
      <c r="J144" s="293">
        <f t="shared" si="46"/>
        <v>0</v>
      </c>
      <c r="K144" s="230">
        <f t="shared" si="46"/>
        <v>0</v>
      </c>
      <c r="L144" s="293">
        <f t="shared" si="46"/>
        <v>0</v>
      </c>
      <c r="M144" s="230">
        <f t="shared" si="46"/>
        <v>0</v>
      </c>
      <c r="N144" s="293">
        <f t="shared" si="46"/>
        <v>0</v>
      </c>
      <c r="O144" s="230">
        <f t="shared" si="46"/>
        <v>0</v>
      </c>
      <c r="P144" s="293">
        <f t="shared" si="46"/>
        <v>0</v>
      </c>
      <c r="Q144" s="230">
        <f t="shared" si="46"/>
        <v>0</v>
      </c>
      <c r="R144" s="293">
        <f t="shared" si="46"/>
        <v>0</v>
      </c>
      <c r="S144" s="230">
        <f t="shared" si="46"/>
        <v>0</v>
      </c>
      <c r="T144" s="293">
        <f t="shared" si="46"/>
        <v>0</v>
      </c>
      <c r="U144" s="230">
        <f t="shared" si="46"/>
        <v>0</v>
      </c>
      <c r="V144" s="293">
        <f t="shared" si="46"/>
        <v>0</v>
      </c>
      <c r="W144" s="230">
        <f t="shared" si="46"/>
        <v>0</v>
      </c>
      <c r="X144" s="293">
        <f t="shared" si="46"/>
        <v>0</v>
      </c>
      <c r="Y144" s="230">
        <f t="shared" si="46"/>
        <v>0</v>
      </c>
      <c r="Z144" s="293">
        <f t="shared" si="46"/>
        <v>0</v>
      </c>
    </row>
    <row r="145" spans="1:26" x14ac:dyDescent="0.2">
      <c r="A145" s="699"/>
      <c r="B145" s="272" t="s">
        <v>379</v>
      </c>
      <c r="C145" s="230">
        <f t="shared" ref="C145:Z145" si="47">C$12-C134</f>
        <v>0</v>
      </c>
      <c r="D145" s="293">
        <f t="shared" si="47"/>
        <v>0</v>
      </c>
      <c r="E145" s="230">
        <f t="shared" si="47"/>
        <v>0</v>
      </c>
      <c r="F145" s="293">
        <f t="shared" si="47"/>
        <v>0</v>
      </c>
      <c r="G145" s="230">
        <f t="shared" si="47"/>
        <v>0</v>
      </c>
      <c r="H145" s="293">
        <f t="shared" si="47"/>
        <v>0</v>
      </c>
      <c r="I145" s="230">
        <f t="shared" si="47"/>
        <v>0</v>
      </c>
      <c r="J145" s="293">
        <f t="shared" si="47"/>
        <v>0</v>
      </c>
      <c r="K145" s="230">
        <f t="shared" si="47"/>
        <v>0</v>
      </c>
      <c r="L145" s="293">
        <f t="shared" si="47"/>
        <v>0</v>
      </c>
      <c r="M145" s="230">
        <f t="shared" si="47"/>
        <v>0</v>
      </c>
      <c r="N145" s="293">
        <f t="shared" si="47"/>
        <v>0</v>
      </c>
      <c r="O145" s="230">
        <f t="shared" si="47"/>
        <v>0</v>
      </c>
      <c r="P145" s="293">
        <f t="shared" si="47"/>
        <v>0</v>
      </c>
      <c r="Q145" s="230">
        <f t="shared" si="47"/>
        <v>0</v>
      </c>
      <c r="R145" s="293">
        <f t="shared" si="47"/>
        <v>0</v>
      </c>
      <c r="S145" s="230">
        <f t="shared" si="47"/>
        <v>0</v>
      </c>
      <c r="T145" s="293">
        <f t="shared" si="47"/>
        <v>0</v>
      </c>
      <c r="U145" s="230">
        <f t="shared" si="47"/>
        <v>0</v>
      </c>
      <c r="V145" s="293">
        <f t="shared" si="47"/>
        <v>0</v>
      </c>
      <c r="W145" s="230">
        <f t="shared" si="47"/>
        <v>0</v>
      </c>
      <c r="X145" s="293">
        <f t="shared" si="47"/>
        <v>0</v>
      </c>
      <c r="Y145" s="230">
        <f t="shared" si="47"/>
        <v>0</v>
      </c>
      <c r="Z145" s="293">
        <f t="shared" si="47"/>
        <v>0</v>
      </c>
    </row>
    <row r="146" spans="1:26" x14ac:dyDescent="0.2">
      <c r="A146" s="699"/>
      <c r="B146" s="272" t="s">
        <v>380</v>
      </c>
      <c r="C146" s="230">
        <f t="shared" ref="C146:Z146" si="48">C$13-C135</f>
        <v>0</v>
      </c>
      <c r="D146" s="293">
        <f t="shared" si="48"/>
        <v>0</v>
      </c>
      <c r="E146" s="230">
        <f t="shared" si="48"/>
        <v>0</v>
      </c>
      <c r="F146" s="293">
        <f t="shared" si="48"/>
        <v>0</v>
      </c>
      <c r="G146" s="230">
        <f t="shared" si="48"/>
        <v>0</v>
      </c>
      <c r="H146" s="293">
        <f t="shared" si="48"/>
        <v>0</v>
      </c>
      <c r="I146" s="230">
        <f t="shared" si="48"/>
        <v>0</v>
      </c>
      <c r="J146" s="293">
        <f t="shared" si="48"/>
        <v>0</v>
      </c>
      <c r="K146" s="230">
        <f t="shared" si="48"/>
        <v>0</v>
      </c>
      <c r="L146" s="293">
        <f t="shared" si="48"/>
        <v>0</v>
      </c>
      <c r="M146" s="230">
        <f t="shared" si="48"/>
        <v>0</v>
      </c>
      <c r="N146" s="293">
        <f t="shared" si="48"/>
        <v>0</v>
      </c>
      <c r="O146" s="230">
        <f t="shared" si="48"/>
        <v>0</v>
      </c>
      <c r="P146" s="293">
        <f t="shared" si="48"/>
        <v>0</v>
      </c>
      <c r="Q146" s="230">
        <f t="shared" si="48"/>
        <v>0</v>
      </c>
      <c r="R146" s="293">
        <f t="shared" si="48"/>
        <v>0</v>
      </c>
      <c r="S146" s="230">
        <f t="shared" si="48"/>
        <v>0</v>
      </c>
      <c r="T146" s="293">
        <f t="shared" si="48"/>
        <v>0</v>
      </c>
      <c r="U146" s="230">
        <f t="shared" si="48"/>
        <v>0</v>
      </c>
      <c r="V146" s="293">
        <f t="shared" si="48"/>
        <v>0</v>
      </c>
      <c r="W146" s="230">
        <f t="shared" si="48"/>
        <v>0</v>
      </c>
      <c r="X146" s="293">
        <f t="shared" si="48"/>
        <v>0</v>
      </c>
      <c r="Y146" s="230">
        <f t="shared" si="48"/>
        <v>0</v>
      </c>
      <c r="Z146" s="293">
        <f t="shared" si="48"/>
        <v>0</v>
      </c>
    </row>
    <row r="147" spans="1:26" x14ac:dyDescent="0.2">
      <c r="A147" s="699"/>
      <c r="B147" s="272" t="s">
        <v>381</v>
      </c>
      <c r="C147" s="230">
        <f t="shared" ref="C147:Z147" si="49">C$14-C136</f>
        <v>0</v>
      </c>
      <c r="D147" s="293">
        <f t="shared" si="49"/>
        <v>0</v>
      </c>
      <c r="E147" s="230">
        <f t="shared" si="49"/>
        <v>0</v>
      </c>
      <c r="F147" s="293">
        <f t="shared" si="49"/>
        <v>0</v>
      </c>
      <c r="G147" s="230">
        <f t="shared" si="49"/>
        <v>0</v>
      </c>
      <c r="H147" s="293">
        <f t="shared" si="49"/>
        <v>0</v>
      </c>
      <c r="I147" s="230">
        <f t="shared" si="49"/>
        <v>0</v>
      </c>
      <c r="J147" s="293">
        <f t="shared" si="49"/>
        <v>0</v>
      </c>
      <c r="K147" s="230">
        <f t="shared" si="49"/>
        <v>0</v>
      </c>
      <c r="L147" s="293">
        <f t="shared" si="49"/>
        <v>0</v>
      </c>
      <c r="M147" s="230">
        <f t="shared" si="49"/>
        <v>0</v>
      </c>
      <c r="N147" s="293">
        <f t="shared" si="49"/>
        <v>0</v>
      </c>
      <c r="O147" s="230">
        <f t="shared" si="49"/>
        <v>0</v>
      </c>
      <c r="P147" s="293">
        <f t="shared" si="49"/>
        <v>0</v>
      </c>
      <c r="Q147" s="230">
        <f t="shared" si="49"/>
        <v>0</v>
      </c>
      <c r="R147" s="293">
        <f t="shared" si="49"/>
        <v>0</v>
      </c>
      <c r="S147" s="230">
        <f t="shared" si="49"/>
        <v>0</v>
      </c>
      <c r="T147" s="293">
        <f t="shared" si="49"/>
        <v>0</v>
      </c>
      <c r="U147" s="230">
        <f t="shared" si="49"/>
        <v>0</v>
      </c>
      <c r="V147" s="293">
        <f t="shared" si="49"/>
        <v>0</v>
      </c>
      <c r="W147" s="230">
        <f t="shared" si="49"/>
        <v>0</v>
      </c>
      <c r="X147" s="293">
        <f t="shared" si="49"/>
        <v>0</v>
      </c>
      <c r="Y147" s="230">
        <f t="shared" si="49"/>
        <v>0</v>
      </c>
      <c r="Z147" s="293">
        <f t="shared" si="49"/>
        <v>0</v>
      </c>
    </row>
    <row r="148" spans="1:26" s="20" customFormat="1" x14ac:dyDescent="0.2">
      <c r="A148" s="700"/>
      <c r="B148" s="274" t="s">
        <v>382</v>
      </c>
      <c r="C148" s="275">
        <f t="shared" ref="C148:Z148" si="50">C$15-C137</f>
        <v>2366</v>
      </c>
      <c r="D148" s="294">
        <f t="shared" si="50"/>
        <v>14.800000000000011</v>
      </c>
      <c r="E148" s="275">
        <f t="shared" si="50"/>
        <v>35982</v>
      </c>
      <c r="F148" s="294">
        <f t="shared" si="50"/>
        <v>40</v>
      </c>
      <c r="G148" s="275">
        <f t="shared" si="50"/>
        <v>19490</v>
      </c>
      <c r="H148" s="294">
        <f t="shared" si="50"/>
        <v>65</v>
      </c>
      <c r="I148" s="275">
        <f t="shared" si="50"/>
        <v>202682</v>
      </c>
      <c r="J148" s="294">
        <f t="shared" si="50"/>
        <v>56.300000000000011</v>
      </c>
      <c r="K148" s="275">
        <f t="shared" si="50"/>
        <v>194289</v>
      </c>
      <c r="L148" s="294">
        <f t="shared" si="50"/>
        <v>80.899999999999977</v>
      </c>
      <c r="M148" s="275">
        <f t="shared" si="50"/>
        <v>264011</v>
      </c>
      <c r="N148" s="294">
        <f t="shared" si="50"/>
        <v>73.300000000000011</v>
      </c>
      <c r="O148" s="275">
        <f t="shared" si="50"/>
        <v>604690</v>
      </c>
      <c r="P148" s="294">
        <f t="shared" si="50"/>
        <v>168</v>
      </c>
      <c r="Q148" s="275">
        <f t="shared" si="50"/>
        <v>403614</v>
      </c>
      <c r="R148" s="294">
        <f t="shared" si="50"/>
        <v>168.2</v>
      </c>
      <c r="S148" s="275">
        <f t="shared" si="50"/>
        <v>239078</v>
      </c>
      <c r="T148" s="294">
        <f t="shared" si="50"/>
        <v>99.600000000000023</v>
      </c>
      <c r="U148" s="275">
        <f t="shared" si="50"/>
        <v>224313</v>
      </c>
      <c r="V148" s="294">
        <f t="shared" si="50"/>
        <v>70.100000000000023</v>
      </c>
      <c r="W148" s="275">
        <f t="shared" si="50"/>
        <v>476115</v>
      </c>
      <c r="X148" s="294">
        <f t="shared" si="50"/>
        <v>132.29999999999995</v>
      </c>
      <c r="Y148" s="275">
        <f t="shared" si="50"/>
        <v>149288</v>
      </c>
      <c r="Z148" s="294">
        <f t="shared" si="50"/>
        <v>62.200000000000045</v>
      </c>
    </row>
    <row r="149" spans="1:26" s="20" customFormat="1" x14ac:dyDescent="0.2">
      <c r="A149" s="266"/>
      <c r="B149" s="227"/>
      <c r="C149" s="267"/>
      <c r="D149" s="232"/>
      <c r="E149" s="268"/>
      <c r="F149" s="237"/>
      <c r="G149" s="267"/>
      <c r="H149" s="232"/>
      <c r="I149" s="267"/>
      <c r="J149" s="232"/>
      <c r="K149" s="267"/>
      <c r="L149" s="232"/>
      <c r="M149" s="267"/>
      <c r="N149" s="232"/>
      <c r="O149" s="267"/>
      <c r="P149" s="232"/>
      <c r="Q149" s="267"/>
      <c r="R149" s="232"/>
      <c r="S149" s="267"/>
      <c r="T149" s="232"/>
      <c r="U149" s="267"/>
      <c r="V149" s="232"/>
      <c r="W149" s="267"/>
      <c r="X149" s="232"/>
      <c r="Y149" s="267"/>
      <c r="Z149" s="232"/>
    </row>
    <row r="150" spans="1:26" s="202" customFormat="1" ht="13.15" customHeight="1" x14ac:dyDescent="0.2">
      <c r="A150" s="698" t="s">
        <v>515</v>
      </c>
      <c r="B150" s="269" t="s">
        <v>488</v>
      </c>
      <c r="C150" s="368"/>
      <c r="D150" s="369"/>
      <c r="E150" s="368"/>
      <c r="F150" s="369"/>
      <c r="G150" s="304" t="s">
        <v>486</v>
      </c>
      <c r="H150" s="280" t="s">
        <v>487</v>
      </c>
      <c r="I150" s="304" t="s">
        <v>486</v>
      </c>
      <c r="J150" s="280" t="s">
        <v>487</v>
      </c>
      <c r="K150" s="304" t="s">
        <v>486</v>
      </c>
      <c r="L150" s="280" t="s">
        <v>487</v>
      </c>
      <c r="M150" s="304" t="s">
        <v>486</v>
      </c>
      <c r="N150" s="280" t="s">
        <v>487</v>
      </c>
      <c r="O150" s="304" t="s">
        <v>486</v>
      </c>
      <c r="P150" s="280" t="s">
        <v>487</v>
      </c>
      <c r="Q150" s="304" t="s">
        <v>486</v>
      </c>
      <c r="R150" s="280" t="s">
        <v>487</v>
      </c>
      <c r="S150" s="304" t="s">
        <v>486</v>
      </c>
      <c r="T150" s="280" t="s">
        <v>487</v>
      </c>
      <c r="U150" s="304" t="s">
        <v>486</v>
      </c>
      <c r="V150" s="280" t="s">
        <v>487</v>
      </c>
      <c r="W150" s="304" t="s">
        <v>486</v>
      </c>
      <c r="X150" s="280" t="s">
        <v>487</v>
      </c>
      <c r="Y150" s="304" t="s">
        <v>486</v>
      </c>
      <c r="Z150" s="314" t="s">
        <v>487</v>
      </c>
    </row>
    <row r="151" spans="1:26" x14ac:dyDescent="0.2">
      <c r="A151" s="699"/>
      <c r="B151" s="316" t="s">
        <v>283</v>
      </c>
      <c r="C151" s="372"/>
      <c r="D151" s="422"/>
      <c r="E151" s="423"/>
      <c r="F151" s="423"/>
      <c r="G151" s="305">
        <f>'6 Oversikt startpunkt'!D87</f>
        <v>4</v>
      </c>
      <c r="H151" s="318">
        <f>(G151+'7 Passivhusnivå'!F36)*0.5</f>
        <v>2.75</v>
      </c>
      <c r="I151" s="317">
        <f>'6 Oversikt startpunkt'!E87</f>
        <v>4</v>
      </c>
      <c r="J151" s="318">
        <f>(I151+'7 Passivhusnivå'!G36)*0.5</f>
        <v>2.75</v>
      </c>
      <c r="K151" s="317">
        <f>'6 Oversikt startpunkt'!F87</f>
        <v>4</v>
      </c>
      <c r="L151" s="320">
        <f>(K151+'7 Passivhusnivå'!H36)*0.5</f>
        <v>2.75</v>
      </c>
      <c r="M151" s="318">
        <f>'6 Oversikt startpunkt'!G87</f>
        <v>4</v>
      </c>
      <c r="N151" s="318">
        <f>(M151+'7 Passivhusnivå'!I36)*0.5</f>
        <v>2.75</v>
      </c>
      <c r="O151" s="317">
        <f>'6 Oversikt startpunkt'!H87</f>
        <v>4</v>
      </c>
      <c r="P151" s="320">
        <f>(O151+'7 Passivhusnivå'!J36)*0.5</f>
        <v>2.75</v>
      </c>
      <c r="Q151" s="318">
        <f>'6 Oversikt startpunkt'!I87</f>
        <v>4</v>
      </c>
      <c r="R151" s="318">
        <f>(Q151+'7 Passivhusnivå'!K36)*0.5</f>
        <v>2.75</v>
      </c>
      <c r="S151" s="317">
        <f>'6 Oversikt startpunkt'!J87</f>
        <v>4</v>
      </c>
      <c r="T151" s="318">
        <f>(S151+'7 Passivhusnivå'!L36)*0.5</f>
        <v>2.75</v>
      </c>
      <c r="U151" s="319">
        <f>'6 Oversikt startpunkt'!K87</f>
        <v>4</v>
      </c>
      <c r="V151" s="318">
        <f>(U151+'7 Passivhusnivå'!M36)*0.5</f>
        <v>2.75</v>
      </c>
      <c r="W151" s="317">
        <f>'6 Oversikt startpunkt'!L87</f>
        <v>4</v>
      </c>
      <c r="X151" s="318">
        <f>(W151+'7 Passivhusnivå'!N36)*0.5</f>
        <v>2.75</v>
      </c>
      <c r="Y151" s="317">
        <f>'6 Oversikt startpunkt'!M87</f>
        <v>4</v>
      </c>
      <c r="Z151" s="320">
        <f>(Y151+'7 Passivhusnivå'!O36)*0.5</f>
        <v>2.75</v>
      </c>
    </row>
    <row r="152" spans="1:26" s="216" customFormat="1" x14ac:dyDescent="0.2">
      <c r="A152" s="699"/>
      <c r="B152" s="288" t="s">
        <v>490</v>
      </c>
      <c r="C152" s="353"/>
      <c r="D152" s="374"/>
      <c r="E152" s="353"/>
      <c r="F152" s="354"/>
      <c r="G152" s="292" t="s">
        <v>372</v>
      </c>
      <c r="H152" s="290" t="s">
        <v>397</v>
      </c>
      <c r="I152" s="289" t="s">
        <v>372</v>
      </c>
      <c r="J152" s="291" t="s">
        <v>397</v>
      </c>
      <c r="K152" s="292" t="s">
        <v>372</v>
      </c>
      <c r="L152" s="290" t="s">
        <v>397</v>
      </c>
      <c r="M152" s="289" t="s">
        <v>372</v>
      </c>
      <c r="N152" s="290" t="s">
        <v>397</v>
      </c>
      <c r="O152" s="289" t="s">
        <v>372</v>
      </c>
      <c r="P152" s="290" t="s">
        <v>397</v>
      </c>
      <c r="Q152" s="289" t="s">
        <v>372</v>
      </c>
      <c r="R152" s="290" t="s">
        <v>397</v>
      </c>
      <c r="S152" s="289" t="s">
        <v>372</v>
      </c>
      <c r="T152" s="290" t="s">
        <v>397</v>
      </c>
      <c r="U152" s="289" t="s">
        <v>372</v>
      </c>
      <c r="V152" s="290" t="s">
        <v>397</v>
      </c>
      <c r="W152" s="289" t="s">
        <v>372</v>
      </c>
      <c r="X152" s="290" t="s">
        <v>397</v>
      </c>
      <c r="Y152" s="289" t="s">
        <v>372</v>
      </c>
      <c r="Z152" s="291" t="s">
        <v>397</v>
      </c>
    </row>
    <row r="153" spans="1:26" x14ac:dyDescent="0.2">
      <c r="A153" s="699"/>
      <c r="B153" s="272" t="s">
        <v>373</v>
      </c>
      <c r="C153" s="355"/>
      <c r="D153" s="375"/>
      <c r="E153" s="355"/>
      <c r="F153" s="376"/>
      <c r="G153" s="285">
        <v>116673</v>
      </c>
      <c r="H153" s="231">
        <v>388.9</v>
      </c>
      <c r="I153" s="230">
        <v>695716</v>
      </c>
      <c r="J153" s="273">
        <v>193.3</v>
      </c>
      <c r="K153" s="285">
        <v>584122</v>
      </c>
      <c r="L153" s="231">
        <v>243.4</v>
      </c>
      <c r="M153" s="230">
        <v>760907</v>
      </c>
      <c r="N153" s="231">
        <v>211.4</v>
      </c>
      <c r="O153" s="230">
        <v>1003827</v>
      </c>
      <c r="P153" s="231">
        <v>278.8</v>
      </c>
      <c r="Q153" s="230">
        <v>505466</v>
      </c>
      <c r="R153" s="231">
        <v>210.6</v>
      </c>
      <c r="S153" s="230">
        <v>697518</v>
      </c>
      <c r="T153" s="231">
        <v>290.60000000000002</v>
      </c>
      <c r="U153" s="230">
        <v>1245302</v>
      </c>
      <c r="V153" s="231">
        <v>389.2</v>
      </c>
      <c r="W153" s="230">
        <v>867174</v>
      </c>
      <c r="X153" s="231">
        <v>240.9</v>
      </c>
      <c r="Y153" s="230">
        <v>731346</v>
      </c>
      <c r="Z153" s="273">
        <v>304.7</v>
      </c>
    </row>
    <row r="154" spans="1:26" x14ac:dyDescent="0.2">
      <c r="A154" s="699"/>
      <c r="B154" s="272" t="s">
        <v>374</v>
      </c>
      <c r="C154" s="355"/>
      <c r="D154" s="375"/>
      <c r="E154" s="355"/>
      <c r="F154" s="376"/>
      <c r="G154" s="285">
        <v>22307</v>
      </c>
      <c r="H154" s="231">
        <v>74.400000000000006</v>
      </c>
      <c r="I154" s="230">
        <v>231687</v>
      </c>
      <c r="J154" s="273">
        <v>64.400000000000006</v>
      </c>
      <c r="K154" s="285">
        <v>207313</v>
      </c>
      <c r="L154" s="231">
        <v>86.4</v>
      </c>
      <c r="M154" s="230">
        <v>301749</v>
      </c>
      <c r="N154" s="231">
        <v>83.8</v>
      </c>
      <c r="O154" s="230">
        <v>692855</v>
      </c>
      <c r="P154" s="231">
        <v>192.5</v>
      </c>
      <c r="Q154" s="230">
        <v>464218</v>
      </c>
      <c r="R154" s="231">
        <v>193.4</v>
      </c>
      <c r="S154" s="230">
        <v>269404</v>
      </c>
      <c r="T154" s="231">
        <v>112.3</v>
      </c>
      <c r="U154" s="230">
        <v>293702</v>
      </c>
      <c r="V154" s="231">
        <v>91.8</v>
      </c>
      <c r="W154" s="230">
        <v>522159</v>
      </c>
      <c r="X154" s="231">
        <v>145</v>
      </c>
      <c r="Y154" s="230">
        <v>170158</v>
      </c>
      <c r="Z154" s="273">
        <v>70.900000000000006</v>
      </c>
    </row>
    <row r="155" spans="1:26" x14ac:dyDescent="0.2">
      <c r="A155" s="699"/>
      <c r="B155" s="272" t="s">
        <v>375</v>
      </c>
      <c r="C155" s="355"/>
      <c r="D155" s="375"/>
      <c r="E155" s="355"/>
      <c r="F155" s="376"/>
      <c r="G155" s="285">
        <v>3007</v>
      </c>
      <c r="H155" s="231">
        <v>10</v>
      </c>
      <c r="I155" s="230">
        <v>18040</v>
      </c>
      <c r="J155" s="273">
        <v>5</v>
      </c>
      <c r="K155" s="285">
        <v>23530</v>
      </c>
      <c r="L155" s="231">
        <v>9.8000000000000007</v>
      </c>
      <c r="M155" s="230">
        <v>18040</v>
      </c>
      <c r="N155" s="231">
        <v>5</v>
      </c>
      <c r="O155" s="230">
        <v>107170</v>
      </c>
      <c r="P155" s="231">
        <v>29.8</v>
      </c>
      <c r="Q155" s="230">
        <v>71482</v>
      </c>
      <c r="R155" s="231">
        <v>29.8</v>
      </c>
      <c r="S155" s="230">
        <v>71482</v>
      </c>
      <c r="T155" s="231">
        <v>29.8</v>
      </c>
      <c r="U155" s="230">
        <v>156864</v>
      </c>
      <c r="V155" s="231">
        <v>49</v>
      </c>
      <c r="W155" s="230">
        <v>36408</v>
      </c>
      <c r="X155" s="231">
        <v>10.1</v>
      </c>
      <c r="Y155" s="230">
        <v>24054</v>
      </c>
      <c r="Z155" s="273">
        <v>10</v>
      </c>
    </row>
    <row r="156" spans="1:26" x14ac:dyDescent="0.2">
      <c r="A156" s="699"/>
      <c r="B156" s="272" t="s">
        <v>376</v>
      </c>
      <c r="C156" s="355"/>
      <c r="D156" s="375"/>
      <c r="E156" s="355"/>
      <c r="F156" s="376"/>
      <c r="G156" s="285">
        <v>9500</v>
      </c>
      <c r="H156" s="231">
        <v>31.7</v>
      </c>
      <c r="I156" s="230">
        <v>109620</v>
      </c>
      <c r="J156" s="273">
        <v>30.4</v>
      </c>
      <c r="K156" s="285">
        <v>83476</v>
      </c>
      <c r="L156" s="231">
        <v>34.799999999999997</v>
      </c>
      <c r="M156" s="230">
        <v>142539</v>
      </c>
      <c r="N156" s="231">
        <v>39.6</v>
      </c>
      <c r="O156" s="230">
        <v>317905</v>
      </c>
      <c r="P156" s="231">
        <v>88.3</v>
      </c>
      <c r="Q156" s="230">
        <v>185895</v>
      </c>
      <c r="R156" s="231">
        <v>77.5</v>
      </c>
      <c r="S156" s="230">
        <v>129425</v>
      </c>
      <c r="T156" s="231">
        <v>53.9</v>
      </c>
      <c r="U156" s="230">
        <v>96314</v>
      </c>
      <c r="V156" s="231">
        <v>30.1</v>
      </c>
      <c r="W156" s="230">
        <v>262080</v>
      </c>
      <c r="X156" s="231">
        <v>72.8</v>
      </c>
      <c r="Y156" s="230">
        <v>81850</v>
      </c>
      <c r="Z156" s="273">
        <v>34.1</v>
      </c>
    </row>
    <row r="157" spans="1:26" x14ac:dyDescent="0.2">
      <c r="A157" s="699"/>
      <c r="B157" s="272" t="s">
        <v>377</v>
      </c>
      <c r="C157" s="355"/>
      <c r="D157" s="375"/>
      <c r="E157" s="355"/>
      <c r="F157" s="376"/>
      <c r="G157" s="285">
        <v>585</v>
      </c>
      <c r="H157" s="231">
        <v>2</v>
      </c>
      <c r="I157" s="230">
        <v>8825</v>
      </c>
      <c r="J157" s="273">
        <v>2.5</v>
      </c>
      <c r="K157" s="285">
        <v>4635</v>
      </c>
      <c r="L157" s="231">
        <v>1.9</v>
      </c>
      <c r="M157" s="230">
        <v>10094</v>
      </c>
      <c r="N157" s="231">
        <v>2.8</v>
      </c>
      <c r="O157" s="230">
        <v>12529</v>
      </c>
      <c r="P157" s="231">
        <v>3.5</v>
      </c>
      <c r="Q157" s="230">
        <v>3728</v>
      </c>
      <c r="R157" s="231">
        <v>1.6</v>
      </c>
      <c r="S157" s="230">
        <v>7161</v>
      </c>
      <c r="T157" s="231">
        <v>3</v>
      </c>
      <c r="U157" s="230">
        <v>6242</v>
      </c>
      <c r="V157" s="231">
        <v>2</v>
      </c>
      <c r="W157" s="230">
        <v>14223</v>
      </c>
      <c r="X157" s="231">
        <v>4</v>
      </c>
      <c r="Y157" s="230">
        <v>7015</v>
      </c>
      <c r="Z157" s="273">
        <v>2.9</v>
      </c>
    </row>
    <row r="158" spans="1:26" x14ac:dyDescent="0.2">
      <c r="A158" s="699"/>
      <c r="B158" s="272" t="s">
        <v>378</v>
      </c>
      <c r="C158" s="355"/>
      <c r="D158" s="375"/>
      <c r="E158" s="355"/>
      <c r="F158" s="376"/>
      <c r="G158" s="285">
        <v>15269</v>
      </c>
      <c r="H158" s="231">
        <v>50.9</v>
      </c>
      <c r="I158" s="230">
        <v>211453</v>
      </c>
      <c r="J158" s="273">
        <v>58.7</v>
      </c>
      <c r="K158" s="285">
        <v>125759</v>
      </c>
      <c r="L158" s="231">
        <v>52.4</v>
      </c>
      <c r="M158" s="230">
        <v>211453</v>
      </c>
      <c r="N158" s="231">
        <v>58.7</v>
      </c>
      <c r="O158" s="230">
        <v>374581</v>
      </c>
      <c r="P158" s="231">
        <v>104.1</v>
      </c>
      <c r="Q158" s="230">
        <v>249557</v>
      </c>
      <c r="R158" s="231">
        <v>104</v>
      </c>
      <c r="S158" s="230">
        <v>249557</v>
      </c>
      <c r="T158" s="231">
        <v>104</v>
      </c>
      <c r="U158" s="230">
        <v>154800</v>
      </c>
      <c r="V158" s="231">
        <v>48.4</v>
      </c>
      <c r="W158" s="230">
        <v>473873</v>
      </c>
      <c r="X158" s="231">
        <v>131.6</v>
      </c>
      <c r="Y158" s="230">
        <v>131544</v>
      </c>
      <c r="Z158" s="273">
        <v>54.8</v>
      </c>
    </row>
    <row r="159" spans="1:26" x14ac:dyDescent="0.2">
      <c r="A159" s="699"/>
      <c r="B159" s="272" t="s">
        <v>379</v>
      </c>
      <c r="C159" s="355"/>
      <c r="D159" s="375"/>
      <c r="E159" s="355"/>
      <c r="F159" s="376"/>
      <c r="G159" s="285">
        <v>2036</v>
      </c>
      <c r="H159" s="231">
        <v>6.8</v>
      </c>
      <c r="I159" s="230">
        <v>155070</v>
      </c>
      <c r="J159" s="273">
        <v>43.1</v>
      </c>
      <c r="K159" s="285">
        <v>40248</v>
      </c>
      <c r="L159" s="231">
        <v>16.8</v>
      </c>
      <c r="M159" s="230">
        <v>155070</v>
      </c>
      <c r="N159" s="231">
        <v>43.1</v>
      </c>
      <c r="O159" s="230">
        <v>199728</v>
      </c>
      <c r="P159" s="231">
        <v>55.5</v>
      </c>
      <c r="Q159" s="230">
        <v>66576</v>
      </c>
      <c r="R159" s="231">
        <v>27.7</v>
      </c>
      <c r="S159" s="230">
        <v>16644</v>
      </c>
      <c r="T159" s="231">
        <v>6.9</v>
      </c>
      <c r="U159" s="230">
        <v>10320</v>
      </c>
      <c r="V159" s="231">
        <v>3.2</v>
      </c>
      <c r="W159" s="230">
        <v>16848</v>
      </c>
      <c r="X159" s="231">
        <v>4.7</v>
      </c>
      <c r="Y159" s="230">
        <v>8770</v>
      </c>
      <c r="Z159" s="273">
        <v>3.7</v>
      </c>
    </row>
    <row r="160" spans="1:26" x14ac:dyDescent="0.2">
      <c r="A160" s="699"/>
      <c r="B160" s="272" t="s">
        <v>380</v>
      </c>
      <c r="C160" s="355"/>
      <c r="D160" s="375"/>
      <c r="E160" s="377"/>
      <c r="F160" s="376"/>
      <c r="G160" s="285">
        <v>0</v>
      </c>
      <c r="H160" s="231">
        <v>0</v>
      </c>
      <c r="I160" s="230">
        <v>0</v>
      </c>
      <c r="J160" s="273">
        <v>0</v>
      </c>
      <c r="K160" s="285">
        <v>0</v>
      </c>
      <c r="L160" s="231">
        <v>0</v>
      </c>
      <c r="M160" s="230">
        <v>0</v>
      </c>
      <c r="N160" s="231">
        <v>0</v>
      </c>
      <c r="O160" s="230">
        <v>0</v>
      </c>
      <c r="P160" s="231">
        <v>0</v>
      </c>
      <c r="Q160" s="230">
        <v>0</v>
      </c>
      <c r="R160" s="231">
        <v>0</v>
      </c>
      <c r="S160" s="230">
        <v>0</v>
      </c>
      <c r="T160" s="231">
        <v>0</v>
      </c>
      <c r="U160" s="230">
        <v>0</v>
      </c>
      <c r="V160" s="231">
        <v>0</v>
      </c>
      <c r="W160" s="230">
        <v>0</v>
      </c>
      <c r="X160" s="231">
        <v>0</v>
      </c>
      <c r="Y160" s="230">
        <v>0</v>
      </c>
      <c r="Z160" s="273">
        <v>0</v>
      </c>
    </row>
    <row r="161" spans="1:26" x14ac:dyDescent="0.2">
      <c r="A161" s="699"/>
      <c r="B161" s="272" t="s">
        <v>381</v>
      </c>
      <c r="C161" s="355"/>
      <c r="D161" s="375"/>
      <c r="E161" s="377"/>
      <c r="F161" s="376"/>
      <c r="G161" s="285">
        <v>0</v>
      </c>
      <c r="H161" s="231">
        <v>0</v>
      </c>
      <c r="I161" s="230">
        <v>24917</v>
      </c>
      <c r="J161" s="273">
        <v>6.9</v>
      </c>
      <c r="K161" s="285">
        <v>0</v>
      </c>
      <c r="L161" s="231">
        <v>0</v>
      </c>
      <c r="M161" s="230">
        <v>32101</v>
      </c>
      <c r="N161" s="231">
        <v>8.9</v>
      </c>
      <c r="O161" s="230">
        <v>60824</v>
      </c>
      <c r="P161" s="231">
        <v>16.899999999999999</v>
      </c>
      <c r="Q161" s="230">
        <v>0</v>
      </c>
      <c r="R161" s="231">
        <v>0</v>
      </c>
      <c r="S161" s="230">
        <v>26302</v>
      </c>
      <c r="T161" s="231">
        <v>11</v>
      </c>
      <c r="U161" s="230">
        <v>0</v>
      </c>
      <c r="V161" s="231">
        <v>0</v>
      </c>
      <c r="W161" s="230">
        <v>62695</v>
      </c>
      <c r="X161" s="231">
        <v>17.399999999999999</v>
      </c>
      <c r="Y161" s="230">
        <v>19891</v>
      </c>
      <c r="Z161" s="273">
        <v>8.3000000000000007</v>
      </c>
    </row>
    <row r="162" spans="1:26" s="20" customFormat="1" x14ac:dyDescent="0.2">
      <c r="A162" s="699"/>
      <c r="B162" s="274" t="s">
        <v>382</v>
      </c>
      <c r="C162" s="357"/>
      <c r="D162" s="378"/>
      <c r="E162" s="357"/>
      <c r="F162" s="379"/>
      <c r="G162" s="286">
        <v>169376</v>
      </c>
      <c r="H162" s="276">
        <v>564.6</v>
      </c>
      <c r="I162" s="275">
        <v>1455328</v>
      </c>
      <c r="J162" s="279">
        <v>404.3</v>
      </c>
      <c r="K162" s="286">
        <v>1069083</v>
      </c>
      <c r="L162" s="276">
        <v>445.5</v>
      </c>
      <c r="M162" s="275">
        <v>1631954</v>
      </c>
      <c r="N162" s="276">
        <v>453.3</v>
      </c>
      <c r="O162" s="275">
        <v>2769418</v>
      </c>
      <c r="P162" s="276">
        <v>769.3</v>
      </c>
      <c r="Q162" s="275">
        <v>1546923</v>
      </c>
      <c r="R162" s="276">
        <v>644.6</v>
      </c>
      <c r="S162" s="275">
        <v>1467492</v>
      </c>
      <c r="T162" s="276">
        <v>611.5</v>
      </c>
      <c r="U162" s="275">
        <v>1963544</v>
      </c>
      <c r="V162" s="276">
        <v>613.6</v>
      </c>
      <c r="W162" s="275">
        <v>2255460</v>
      </c>
      <c r="X162" s="276">
        <v>626.5</v>
      </c>
      <c r="Y162" s="275">
        <v>1174627</v>
      </c>
      <c r="Z162" s="279">
        <v>489.4</v>
      </c>
    </row>
    <row r="163" spans="1:26" s="216" customFormat="1" x14ac:dyDescent="0.2">
      <c r="A163" s="699"/>
      <c r="B163" s="283" t="s">
        <v>491</v>
      </c>
      <c r="C163" s="353"/>
      <c r="D163" s="354"/>
      <c r="E163" s="353"/>
      <c r="F163" s="354"/>
      <c r="G163" s="289" t="s">
        <v>372</v>
      </c>
      <c r="H163" s="291" t="s">
        <v>397</v>
      </c>
      <c r="I163" s="289" t="s">
        <v>372</v>
      </c>
      <c r="J163" s="291" t="s">
        <v>397</v>
      </c>
      <c r="K163" s="289" t="s">
        <v>372</v>
      </c>
      <c r="L163" s="291" t="s">
        <v>397</v>
      </c>
      <c r="M163" s="289" t="s">
        <v>372</v>
      </c>
      <c r="N163" s="291" t="s">
        <v>397</v>
      </c>
      <c r="O163" s="289" t="s">
        <v>372</v>
      </c>
      <c r="P163" s="291" t="s">
        <v>397</v>
      </c>
      <c r="Q163" s="289" t="s">
        <v>372</v>
      </c>
      <c r="R163" s="291" t="s">
        <v>397</v>
      </c>
      <c r="S163" s="289" t="s">
        <v>372</v>
      </c>
      <c r="T163" s="291" t="s">
        <v>397</v>
      </c>
      <c r="U163" s="289" t="s">
        <v>372</v>
      </c>
      <c r="V163" s="291" t="s">
        <v>397</v>
      </c>
      <c r="W163" s="289" t="s">
        <v>372</v>
      </c>
      <c r="X163" s="291" t="s">
        <v>397</v>
      </c>
      <c r="Y163" s="289" t="s">
        <v>372</v>
      </c>
      <c r="Z163" s="291" t="s">
        <v>397</v>
      </c>
    </row>
    <row r="164" spans="1:26" x14ac:dyDescent="0.2">
      <c r="A164" s="699"/>
      <c r="B164" s="272" t="s">
        <v>373</v>
      </c>
      <c r="C164" s="355"/>
      <c r="D164" s="356"/>
      <c r="E164" s="355"/>
      <c r="F164" s="356"/>
      <c r="G164" s="230">
        <f t="shared" ref="G164:Z164" si="51">G$6-G153</f>
        <v>-52</v>
      </c>
      <c r="H164" s="293">
        <f t="shared" si="51"/>
        <v>-0.19999999999998863</v>
      </c>
      <c r="I164" s="230">
        <f t="shared" si="51"/>
        <v>-8</v>
      </c>
      <c r="J164" s="293">
        <f t="shared" si="51"/>
        <v>0</v>
      </c>
      <c r="K164" s="230">
        <f t="shared" si="51"/>
        <v>-2904</v>
      </c>
      <c r="L164" s="293">
        <f t="shared" si="51"/>
        <v>-1.2000000000000171</v>
      </c>
      <c r="M164" s="230">
        <f t="shared" si="51"/>
        <v>-39</v>
      </c>
      <c r="N164" s="293">
        <f t="shared" si="51"/>
        <v>0</v>
      </c>
      <c r="O164" s="230">
        <f t="shared" si="51"/>
        <v>-65</v>
      </c>
      <c r="P164" s="293">
        <f t="shared" si="51"/>
        <v>0</v>
      </c>
      <c r="Q164" s="230">
        <f t="shared" si="51"/>
        <v>-110</v>
      </c>
      <c r="R164" s="293">
        <f t="shared" si="51"/>
        <v>0</v>
      </c>
      <c r="S164" s="230">
        <f t="shared" si="51"/>
        <v>-1244</v>
      </c>
      <c r="T164" s="293">
        <f t="shared" si="51"/>
        <v>-0.5</v>
      </c>
      <c r="U164" s="230">
        <f t="shared" si="51"/>
        <v>-900</v>
      </c>
      <c r="V164" s="293">
        <f t="shared" si="51"/>
        <v>-0.30000000000001137</v>
      </c>
      <c r="W164" s="230">
        <f t="shared" si="51"/>
        <v>-5304</v>
      </c>
      <c r="X164" s="293">
        <f t="shared" si="51"/>
        <v>-1.5</v>
      </c>
      <c r="Y164" s="230">
        <f t="shared" si="51"/>
        <v>-35</v>
      </c>
      <c r="Z164" s="293">
        <f t="shared" si="51"/>
        <v>0</v>
      </c>
    </row>
    <row r="165" spans="1:26" x14ac:dyDescent="0.2">
      <c r="A165" s="699"/>
      <c r="B165" s="272" t="s">
        <v>374</v>
      </c>
      <c r="C165" s="355"/>
      <c r="D165" s="356"/>
      <c r="E165" s="355"/>
      <c r="F165" s="356"/>
      <c r="G165" s="230">
        <f t="shared" ref="G165:Z165" si="52">G$7-G154</f>
        <v>-1614</v>
      </c>
      <c r="H165" s="293">
        <f t="shared" si="52"/>
        <v>-5.4000000000000057</v>
      </c>
      <c r="I165" s="230">
        <f t="shared" si="52"/>
        <v>-14069</v>
      </c>
      <c r="J165" s="293">
        <f t="shared" si="52"/>
        <v>-4.0000000000000071</v>
      </c>
      <c r="K165" s="230">
        <f t="shared" si="52"/>
        <v>-12529</v>
      </c>
      <c r="L165" s="293">
        <f t="shared" si="52"/>
        <v>-5.2000000000000028</v>
      </c>
      <c r="M165" s="230">
        <f t="shared" si="52"/>
        <v>-18310</v>
      </c>
      <c r="N165" s="293">
        <f t="shared" si="52"/>
        <v>-5.0999999999999943</v>
      </c>
      <c r="O165" s="230">
        <f t="shared" si="52"/>
        <v>-40825</v>
      </c>
      <c r="P165" s="293">
        <f t="shared" si="52"/>
        <v>-11.400000000000006</v>
      </c>
      <c r="Q165" s="230">
        <f t="shared" si="52"/>
        <v>-32785</v>
      </c>
      <c r="R165" s="293">
        <f t="shared" si="52"/>
        <v>-13.599999999999994</v>
      </c>
      <c r="S165" s="230">
        <f t="shared" si="52"/>
        <v>-15417</v>
      </c>
      <c r="T165" s="293">
        <f t="shared" si="52"/>
        <v>-6.5</v>
      </c>
      <c r="U165" s="230">
        <f t="shared" si="52"/>
        <v>-17078</v>
      </c>
      <c r="V165" s="293">
        <f t="shared" si="52"/>
        <v>-5.3999999999999915</v>
      </c>
      <c r="W165" s="230">
        <f t="shared" si="52"/>
        <v>-28407</v>
      </c>
      <c r="X165" s="293">
        <f t="shared" si="52"/>
        <v>-7.8000000000000114</v>
      </c>
      <c r="Y165" s="230">
        <f t="shared" si="52"/>
        <v>-10527</v>
      </c>
      <c r="Z165" s="293">
        <f t="shared" si="52"/>
        <v>-4.4000000000000057</v>
      </c>
    </row>
    <row r="166" spans="1:26" x14ac:dyDescent="0.2">
      <c r="A166" s="699"/>
      <c r="B166" s="272" t="s">
        <v>375</v>
      </c>
      <c r="C166" s="355"/>
      <c r="D166" s="356"/>
      <c r="E166" s="355"/>
      <c r="F166" s="356"/>
      <c r="G166" s="230">
        <f t="shared" ref="G166:Z166" si="53">G$8-G155</f>
        <v>0</v>
      </c>
      <c r="H166" s="293">
        <f t="shared" si="53"/>
        <v>0</v>
      </c>
      <c r="I166" s="230">
        <f t="shared" si="53"/>
        <v>0</v>
      </c>
      <c r="J166" s="293">
        <f t="shared" si="53"/>
        <v>0</v>
      </c>
      <c r="K166" s="230">
        <f t="shared" si="53"/>
        <v>0</v>
      </c>
      <c r="L166" s="293">
        <f t="shared" si="53"/>
        <v>0</v>
      </c>
      <c r="M166" s="230">
        <f t="shared" si="53"/>
        <v>0</v>
      </c>
      <c r="N166" s="293">
        <f t="shared" si="53"/>
        <v>0</v>
      </c>
      <c r="O166" s="230">
        <f t="shared" si="53"/>
        <v>0</v>
      </c>
      <c r="P166" s="293">
        <f t="shared" si="53"/>
        <v>0</v>
      </c>
      <c r="Q166" s="230">
        <f t="shared" si="53"/>
        <v>0</v>
      </c>
      <c r="R166" s="293">
        <f t="shared" si="53"/>
        <v>0</v>
      </c>
      <c r="S166" s="230">
        <f t="shared" si="53"/>
        <v>0</v>
      </c>
      <c r="T166" s="293">
        <f t="shared" si="53"/>
        <v>0</v>
      </c>
      <c r="U166" s="230">
        <f t="shared" si="53"/>
        <v>0</v>
      </c>
      <c r="V166" s="293">
        <f t="shared" si="53"/>
        <v>0</v>
      </c>
      <c r="W166" s="230">
        <f t="shared" si="53"/>
        <v>0</v>
      </c>
      <c r="X166" s="293">
        <f t="shared" si="53"/>
        <v>0</v>
      </c>
      <c r="Y166" s="230">
        <f t="shared" si="53"/>
        <v>0</v>
      </c>
      <c r="Z166" s="293">
        <f t="shared" si="53"/>
        <v>0</v>
      </c>
    </row>
    <row r="167" spans="1:26" x14ac:dyDescent="0.2">
      <c r="A167" s="699"/>
      <c r="B167" s="272" t="s">
        <v>376</v>
      </c>
      <c r="C167" s="355"/>
      <c r="D167" s="356"/>
      <c r="E167" s="355"/>
      <c r="F167" s="356"/>
      <c r="G167" s="230">
        <f t="shared" ref="G167:Z167" si="54">G$9-G156</f>
        <v>4072</v>
      </c>
      <c r="H167" s="293">
        <f t="shared" si="54"/>
        <v>13.500000000000004</v>
      </c>
      <c r="I167" s="230">
        <f t="shared" si="54"/>
        <v>46980</v>
      </c>
      <c r="J167" s="293">
        <f t="shared" si="54"/>
        <v>13.100000000000001</v>
      </c>
      <c r="K167" s="230">
        <f t="shared" si="54"/>
        <v>35768</v>
      </c>
      <c r="L167" s="293">
        <f t="shared" si="54"/>
        <v>14.900000000000006</v>
      </c>
      <c r="M167" s="230">
        <f t="shared" si="54"/>
        <v>60998</v>
      </c>
      <c r="N167" s="293">
        <f t="shared" si="54"/>
        <v>16.899999999999999</v>
      </c>
      <c r="O167" s="230">
        <f t="shared" si="54"/>
        <v>136212</v>
      </c>
      <c r="P167" s="293">
        <f t="shared" si="54"/>
        <v>37.799999999999997</v>
      </c>
      <c r="Q167" s="230">
        <f t="shared" si="54"/>
        <v>79639</v>
      </c>
      <c r="R167" s="293">
        <f t="shared" si="54"/>
        <v>33.099999999999994</v>
      </c>
      <c r="S167" s="230">
        <f t="shared" si="54"/>
        <v>55527</v>
      </c>
      <c r="T167" s="293">
        <f t="shared" si="54"/>
        <v>23.199999999999996</v>
      </c>
      <c r="U167" s="230">
        <f t="shared" si="54"/>
        <v>41274</v>
      </c>
      <c r="V167" s="293">
        <f t="shared" si="54"/>
        <v>12.899999999999999</v>
      </c>
      <c r="W167" s="230">
        <f t="shared" si="54"/>
        <v>112320</v>
      </c>
      <c r="X167" s="293">
        <f t="shared" si="54"/>
        <v>31.200000000000003</v>
      </c>
      <c r="Y167" s="230">
        <f t="shared" si="54"/>
        <v>35078</v>
      </c>
      <c r="Z167" s="293">
        <f t="shared" si="54"/>
        <v>14.600000000000001</v>
      </c>
    </row>
    <row r="168" spans="1:26" x14ac:dyDescent="0.2">
      <c r="A168" s="699"/>
      <c r="B168" s="272" t="s">
        <v>377</v>
      </c>
      <c r="C168" s="355"/>
      <c r="D168" s="356"/>
      <c r="E168" s="355"/>
      <c r="F168" s="356"/>
      <c r="G168" s="230">
        <f t="shared" ref="G168:Z168" si="55">G$10-G157</f>
        <v>0</v>
      </c>
      <c r="H168" s="293">
        <f t="shared" si="55"/>
        <v>0</v>
      </c>
      <c r="I168" s="230">
        <f t="shared" si="55"/>
        <v>-43</v>
      </c>
      <c r="J168" s="293">
        <f t="shared" si="55"/>
        <v>-0.10000000000000009</v>
      </c>
      <c r="K168" s="230">
        <f t="shared" si="55"/>
        <v>0</v>
      </c>
      <c r="L168" s="293">
        <f t="shared" si="55"/>
        <v>0</v>
      </c>
      <c r="M168" s="230">
        <f t="shared" si="55"/>
        <v>-57</v>
      </c>
      <c r="N168" s="293">
        <f t="shared" si="55"/>
        <v>0</v>
      </c>
      <c r="O168" s="230">
        <f t="shared" si="55"/>
        <v>-293</v>
      </c>
      <c r="P168" s="293">
        <f t="shared" si="55"/>
        <v>-0.10000000000000009</v>
      </c>
      <c r="Q168" s="230">
        <f t="shared" si="55"/>
        <v>-49</v>
      </c>
      <c r="R168" s="293">
        <f t="shared" si="55"/>
        <v>-0.10000000000000009</v>
      </c>
      <c r="S168" s="230">
        <f t="shared" si="55"/>
        <v>-37</v>
      </c>
      <c r="T168" s="293">
        <f t="shared" si="55"/>
        <v>0</v>
      </c>
      <c r="U168" s="230">
        <f t="shared" si="55"/>
        <v>0</v>
      </c>
      <c r="V168" s="293">
        <f t="shared" si="55"/>
        <v>0</v>
      </c>
      <c r="W168" s="230">
        <f t="shared" si="55"/>
        <v>-188</v>
      </c>
      <c r="X168" s="293">
        <f t="shared" si="55"/>
        <v>-0.10000000000000009</v>
      </c>
      <c r="Y168" s="230">
        <f t="shared" si="55"/>
        <v>-35</v>
      </c>
      <c r="Z168" s="293">
        <f t="shared" si="55"/>
        <v>0</v>
      </c>
    </row>
    <row r="169" spans="1:26" x14ac:dyDescent="0.2">
      <c r="A169" s="699"/>
      <c r="B169" s="272" t="s">
        <v>378</v>
      </c>
      <c r="C169" s="355"/>
      <c r="D169" s="356"/>
      <c r="E169" s="355"/>
      <c r="F169" s="356"/>
      <c r="G169" s="230">
        <f t="shared" ref="G169:Z169" si="56">G$11-G158</f>
        <v>0</v>
      </c>
      <c r="H169" s="293">
        <f t="shared" si="56"/>
        <v>0</v>
      </c>
      <c r="I169" s="230">
        <f t="shared" si="56"/>
        <v>0</v>
      </c>
      <c r="J169" s="293">
        <f t="shared" si="56"/>
        <v>0</v>
      </c>
      <c r="K169" s="230">
        <f t="shared" si="56"/>
        <v>0</v>
      </c>
      <c r="L169" s="293">
        <f t="shared" si="56"/>
        <v>0</v>
      </c>
      <c r="M169" s="230">
        <f t="shared" si="56"/>
        <v>0</v>
      </c>
      <c r="N169" s="293">
        <f t="shared" si="56"/>
        <v>0</v>
      </c>
      <c r="O169" s="230">
        <f t="shared" si="56"/>
        <v>0</v>
      </c>
      <c r="P169" s="293">
        <f t="shared" si="56"/>
        <v>0</v>
      </c>
      <c r="Q169" s="230">
        <f t="shared" si="56"/>
        <v>0</v>
      </c>
      <c r="R169" s="293">
        <f t="shared" si="56"/>
        <v>0</v>
      </c>
      <c r="S169" s="230">
        <f t="shared" si="56"/>
        <v>0</v>
      </c>
      <c r="T169" s="293">
        <f t="shared" si="56"/>
        <v>0</v>
      </c>
      <c r="U169" s="230">
        <f t="shared" si="56"/>
        <v>0</v>
      </c>
      <c r="V169" s="293">
        <f t="shared" si="56"/>
        <v>0</v>
      </c>
      <c r="W169" s="230">
        <f t="shared" si="56"/>
        <v>0</v>
      </c>
      <c r="X169" s="293">
        <f t="shared" si="56"/>
        <v>0</v>
      </c>
      <c r="Y169" s="230">
        <f t="shared" si="56"/>
        <v>0</v>
      </c>
      <c r="Z169" s="293">
        <f t="shared" si="56"/>
        <v>0</v>
      </c>
    </row>
    <row r="170" spans="1:26" x14ac:dyDescent="0.2">
      <c r="A170" s="699"/>
      <c r="B170" s="272" t="s">
        <v>379</v>
      </c>
      <c r="C170" s="355"/>
      <c r="D170" s="356"/>
      <c r="E170" s="355"/>
      <c r="F170" s="356"/>
      <c r="G170" s="230">
        <f t="shared" ref="G170:Z170" si="57">G$12-G159</f>
        <v>0</v>
      </c>
      <c r="H170" s="293">
        <f t="shared" si="57"/>
        <v>0</v>
      </c>
      <c r="I170" s="230">
        <f t="shared" si="57"/>
        <v>0</v>
      </c>
      <c r="J170" s="293">
        <f t="shared" si="57"/>
        <v>0</v>
      </c>
      <c r="K170" s="230">
        <f t="shared" si="57"/>
        <v>0</v>
      </c>
      <c r="L170" s="293">
        <f t="shared" si="57"/>
        <v>0</v>
      </c>
      <c r="M170" s="230">
        <f t="shared" si="57"/>
        <v>0</v>
      </c>
      <c r="N170" s="293">
        <f t="shared" si="57"/>
        <v>0</v>
      </c>
      <c r="O170" s="230">
        <f t="shared" si="57"/>
        <v>0</v>
      </c>
      <c r="P170" s="293">
        <f t="shared" si="57"/>
        <v>0</v>
      </c>
      <c r="Q170" s="230">
        <f t="shared" si="57"/>
        <v>0</v>
      </c>
      <c r="R170" s="293">
        <f t="shared" si="57"/>
        <v>0</v>
      </c>
      <c r="S170" s="230">
        <f t="shared" si="57"/>
        <v>0</v>
      </c>
      <c r="T170" s="293">
        <f t="shared" si="57"/>
        <v>0</v>
      </c>
      <c r="U170" s="230">
        <f t="shared" si="57"/>
        <v>0</v>
      </c>
      <c r="V170" s="293">
        <f t="shared" si="57"/>
        <v>0</v>
      </c>
      <c r="W170" s="230">
        <f t="shared" si="57"/>
        <v>0</v>
      </c>
      <c r="X170" s="293">
        <f t="shared" si="57"/>
        <v>0</v>
      </c>
      <c r="Y170" s="230">
        <f t="shared" si="57"/>
        <v>0</v>
      </c>
      <c r="Z170" s="293">
        <f t="shared" si="57"/>
        <v>0</v>
      </c>
    </row>
    <row r="171" spans="1:26" x14ac:dyDescent="0.2">
      <c r="A171" s="699"/>
      <c r="B171" s="272" t="s">
        <v>380</v>
      </c>
      <c r="C171" s="355"/>
      <c r="D171" s="356"/>
      <c r="E171" s="355"/>
      <c r="F171" s="356"/>
      <c r="G171" s="230">
        <f t="shared" ref="G171:Z171" si="58">G$13-G160</f>
        <v>0</v>
      </c>
      <c r="H171" s="293">
        <f t="shared" si="58"/>
        <v>0</v>
      </c>
      <c r="I171" s="230">
        <f t="shared" si="58"/>
        <v>0</v>
      </c>
      <c r="J171" s="293">
        <f t="shared" si="58"/>
        <v>0</v>
      </c>
      <c r="K171" s="230">
        <f t="shared" si="58"/>
        <v>0</v>
      </c>
      <c r="L171" s="293">
        <f t="shared" si="58"/>
        <v>0</v>
      </c>
      <c r="M171" s="230">
        <f t="shared" si="58"/>
        <v>0</v>
      </c>
      <c r="N171" s="293">
        <f t="shared" si="58"/>
        <v>0</v>
      </c>
      <c r="O171" s="230">
        <f t="shared" si="58"/>
        <v>0</v>
      </c>
      <c r="P171" s="293">
        <f t="shared" si="58"/>
        <v>0</v>
      </c>
      <c r="Q171" s="230">
        <f t="shared" si="58"/>
        <v>0</v>
      </c>
      <c r="R171" s="293">
        <f t="shared" si="58"/>
        <v>0</v>
      </c>
      <c r="S171" s="230">
        <f t="shared" si="58"/>
        <v>0</v>
      </c>
      <c r="T171" s="293">
        <f t="shared" si="58"/>
        <v>0</v>
      </c>
      <c r="U171" s="230">
        <f t="shared" si="58"/>
        <v>0</v>
      </c>
      <c r="V171" s="293">
        <f t="shared" si="58"/>
        <v>0</v>
      </c>
      <c r="W171" s="230">
        <f t="shared" si="58"/>
        <v>0</v>
      </c>
      <c r="X171" s="293">
        <f t="shared" si="58"/>
        <v>0</v>
      </c>
      <c r="Y171" s="230">
        <f t="shared" si="58"/>
        <v>0</v>
      </c>
      <c r="Z171" s="293">
        <f t="shared" si="58"/>
        <v>0</v>
      </c>
    </row>
    <row r="172" spans="1:26" x14ac:dyDescent="0.2">
      <c r="A172" s="699"/>
      <c r="B172" s="272" t="s">
        <v>381</v>
      </c>
      <c r="C172" s="355"/>
      <c r="D172" s="356"/>
      <c r="E172" s="355"/>
      <c r="F172" s="356"/>
      <c r="G172" s="230">
        <f t="shared" ref="G172:Z172" si="59">G$14-G161</f>
        <v>0</v>
      </c>
      <c r="H172" s="293">
        <f t="shared" si="59"/>
        <v>0</v>
      </c>
      <c r="I172" s="230">
        <f t="shared" si="59"/>
        <v>2923</v>
      </c>
      <c r="J172" s="293">
        <f t="shared" si="59"/>
        <v>0.79999999999999982</v>
      </c>
      <c r="K172" s="230">
        <f t="shared" si="59"/>
        <v>0</v>
      </c>
      <c r="L172" s="293">
        <f t="shared" si="59"/>
        <v>0</v>
      </c>
      <c r="M172" s="230">
        <f t="shared" si="59"/>
        <v>3747</v>
      </c>
      <c r="N172" s="293">
        <f t="shared" si="59"/>
        <v>1.0999999999999996</v>
      </c>
      <c r="O172" s="230">
        <f t="shared" si="59"/>
        <v>7527</v>
      </c>
      <c r="P172" s="293">
        <f t="shared" si="59"/>
        <v>2.1000000000000014</v>
      </c>
      <c r="Q172" s="230">
        <f t="shared" si="59"/>
        <v>0</v>
      </c>
      <c r="R172" s="293">
        <f t="shared" si="59"/>
        <v>0</v>
      </c>
      <c r="S172" s="230">
        <f t="shared" si="59"/>
        <v>3351</v>
      </c>
      <c r="T172" s="293">
        <f t="shared" si="59"/>
        <v>1.4000000000000004</v>
      </c>
      <c r="U172" s="230">
        <f t="shared" si="59"/>
        <v>0</v>
      </c>
      <c r="V172" s="293">
        <f t="shared" si="59"/>
        <v>0</v>
      </c>
      <c r="W172" s="230">
        <f t="shared" si="59"/>
        <v>7469</v>
      </c>
      <c r="X172" s="293">
        <f t="shared" si="59"/>
        <v>2.1000000000000014</v>
      </c>
      <c r="Y172" s="230">
        <f t="shared" si="59"/>
        <v>2330</v>
      </c>
      <c r="Z172" s="293">
        <f t="shared" si="59"/>
        <v>1</v>
      </c>
    </row>
    <row r="173" spans="1:26" s="20" customFormat="1" x14ac:dyDescent="0.2">
      <c r="A173" s="700"/>
      <c r="B173" s="274" t="s">
        <v>382</v>
      </c>
      <c r="C173" s="357"/>
      <c r="D173" s="358"/>
      <c r="E173" s="357"/>
      <c r="F173" s="358"/>
      <c r="G173" s="275">
        <f t="shared" ref="G173:Z173" si="60">G$15-G162</f>
        <v>2407</v>
      </c>
      <c r="H173" s="294">
        <f t="shared" si="60"/>
        <v>8</v>
      </c>
      <c r="I173" s="275">
        <f t="shared" si="60"/>
        <v>35782</v>
      </c>
      <c r="J173" s="294">
        <f t="shared" si="60"/>
        <v>9.8999999999999773</v>
      </c>
      <c r="K173" s="275">
        <f t="shared" si="60"/>
        <v>20333</v>
      </c>
      <c r="L173" s="294">
        <f t="shared" si="60"/>
        <v>8.3999999999999773</v>
      </c>
      <c r="M173" s="275">
        <f t="shared" si="60"/>
        <v>46338</v>
      </c>
      <c r="N173" s="294">
        <f t="shared" si="60"/>
        <v>12.899999999999977</v>
      </c>
      <c r="O173" s="275">
        <f t="shared" si="60"/>
        <v>102557</v>
      </c>
      <c r="P173" s="294">
        <f t="shared" si="60"/>
        <v>28.5</v>
      </c>
      <c r="Q173" s="275">
        <f t="shared" si="60"/>
        <v>46694</v>
      </c>
      <c r="R173" s="294">
        <f t="shared" si="60"/>
        <v>19.399999999999977</v>
      </c>
      <c r="S173" s="275">
        <f t="shared" si="60"/>
        <v>42180</v>
      </c>
      <c r="T173" s="294">
        <f t="shared" si="60"/>
        <v>17.5</v>
      </c>
      <c r="U173" s="275">
        <f t="shared" si="60"/>
        <v>23296</v>
      </c>
      <c r="V173" s="294">
        <f t="shared" si="60"/>
        <v>7.2999999999999545</v>
      </c>
      <c r="W173" s="275">
        <f t="shared" si="60"/>
        <v>85890</v>
      </c>
      <c r="X173" s="294">
        <f t="shared" si="60"/>
        <v>23.899999999999977</v>
      </c>
      <c r="Y173" s="275">
        <f t="shared" si="60"/>
        <v>26812</v>
      </c>
      <c r="Z173" s="294">
        <f t="shared" si="60"/>
        <v>11.200000000000045</v>
      </c>
    </row>
    <row r="174" spans="1:26" s="20" customFormat="1" x14ac:dyDescent="0.2">
      <c r="A174" s="266"/>
      <c r="B174" s="227"/>
      <c r="C174" s="267"/>
      <c r="D174" s="232"/>
      <c r="E174" s="268"/>
      <c r="F174" s="237"/>
      <c r="G174" s="267"/>
      <c r="H174" s="232"/>
      <c r="I174" s="267"/>
      <c r="J174" s="232"/>
      <c r="K174" s="267"/>
      <c r="L174" s="232"/>
      <c r="M174" s="267"/>
      <c r="N174" s="232"/>
      <c r="O174" s="267"/>
      <c r="P174" s="232"/>
      <c r="Q174" s="267"/>
      <c r="R174" s="232"/>
      <c r="S174" s="267"/>
      <c r="T174" s="232"/>
      <c r="U174" s="267"/>
      <c r="V174" s="232"/>
      <c r="W174" s="267"/>
      <c r="X174" s="232"/>
      <c r="Y174" s="267"/>
      <c r="Z174" s="232"/>
    </row>
    <row r="175" spans="1:26" s="202" customFormat="1" ht="13.15" customHeight="1" x14ac:dyDescent="0.2">
      <c r="A175" s="698" t="s">
        <v>554</v>
      </c>
      <c r="B175" s="359" t="s">
        <v>488</v>
      </c>
      <c r="C175" s="368"/>
      <c r="D175" s="369"/>
      <c r="E175" s="368"/>
      <c r="F175" s="369"/>
      <c r="G175" s="304" t="s">
        <v>486</v>
      </c>
      <c r="H175" s="280" t="s">
        <v>487</v>
      </c>
      <c r="I175" s="304" t="s">
        <v>486</v>
      </c>
      <c r="J175" s="280" t="s">
        <v>487</v>
      </c>
      <c r="K175" s="304" t="s">
        <v>486</v>
      </c>
      <c r="L175" s="280" t="s">
        <v>487</v>
      </c>
      <c r="M175" s="304" t="s">
        <v>486</v>
      </c>
      <c r="N175" s="280" t="s">
        <v>487</v>
      </c>
      <c r="O175" s="304" t="s">
        <v>486</v>
      </c>
      <c r="P175" s="280" t="s">
        <v>487</v>
      </c>
      <c r="Q175" s="304" t="s">
        <v>486</v>
      </c>
      <c r="R175" s="280" t="s">
        <v>487</v>
      </c>
      <c r="S175" s="304" t="s">
        <v>486</v>
      </c>
      <c r="T175" s="280" t="s">
        <v>487</v>
      </c>
      <c r="U175" s="304" t="s">
        <v>486</v>
      </c>
      <c r="V175" s="280" t="s">
        <v>487</v>
      </c>
      <c r="W175" s="304" t="s">
        <v>486</v>
      </c>
      <c r="X175" s="280" t="s">
        <v>487</v>
      </c>
      <c r="Y175" s="304" t="s">
        <v>486</v>
      </c>
      <c r="Z175" s="314" t="s">
        <v>487</v>
      </c>
    </row>
    <row r="176" spans="1:26" x14ac:dyDescent="0.2">
      <c r="A176" s="699"/>
      <c r="B176" s="144" t="s">
        <v>278</v>
      </c>
      <c r="C176" s="370"/>
      <c r="D176" s="371"/>
      <c r="E176" s="370"/>
      <c r="F176" s="371"/>
      <c r="G176" s="401" t="str">
        <f>'6 Oversikt startpunkt'!D84</f>
        <v>12</v>
      </c>
      <c r="H176" s="350">
        <v>6</v>
      </c>
      <c r="I176" s="349" t="str">
        <f>'6 Oversikt startpunkt'!E84</f>
        <v>10</v>
      </c>
      <c r="J176" s="350">
        <v>6</v>
      </c>
      <c r="K176" s="349" t="str">
        <f>'6 Oversikt startpunkt'!F84</f>
        <v>16</v>
      </c>
      <c r="L176" s="351">
        <v>8</v>
      </c>
      <c r="M176" s="350" t="str">
        <f>'6 Oversikt startpunkt'!G84</f>
        <v>13</v>
      </c>
      <c r="N176" s="350">
        <v>7</v>
      </c>
      <c r="O176" s="349" t="str">
        <f>'6 Oversikt startpunkt'!H84</f>
        <v>16/3</v>
      </c>
      <c r="P176" s="351" t="str">
        <f>'7 Passivhusnivå'!J33</f>
        <v>9 / 3</v>
      </c>
      <c r="Q176" s="350" t="str">
        <f>'6 Oversikt startpunkt'!I84</f>
        <v>14/3</v>
      </c>
      <c r="R176" s="350" t="str">
        <f>'7 Passivhusnivå'!K33</f>
        <v>7 / 3</v>
      </c>
      <c r="S176" s="349" t="str">
        <f>'6 Oversikt startpunkt'!J84</f>
        <v>10</v>
      </c>
      <c r="T176" s="351">
        <v>5</v>
      </c>
      <c r="U176" s="350" t="str">
        <f>'6 Oversikt startpunkt'!K84</f>
        <v>12</v>
      </c>
      <c r="V176" s="350">
        <v>6</v>
      </c>
      <c r="W176" s="349" t="str">
        <f>'6 Oversikt startpunkt'!L84</f>
        <v>20</v>
      </c>
      <c r="X176" s="351">
        <v>11</v>
      </c>
      <c r="Y176" s="349" t="str">
        <f>'6 Oversikt startpunkt'!M84</f>
        <v>12</v>
      </c>
      <c r="Z176" s="351">
        <v>6</v>
      </c>
    </row>
    <row r="177" spans="1:26" x14ac:dyDescent="0.2">
      <c r="A177" s="699"/>
      <c r="B177" s="78" t="s">
        <v>14</v>
      </c>
      <c r="C177" s="370"/>
      <c r="D177" s="371"/>
      <c r="E177" s="370"/>
      <c r="F177" s="371"/>
      <c r="G177" s="305">
        <f>'6 Oversikt startpunkt'!D85</f>
        <v>0.5</v>
      </c>
      <c r="H177" s="399">
        <v>0.85</v>
      </c>
      <c r="I177" s="209">
        <f>'6 Oversikt startpunkt'!E85</f>
        <v>0.5</v>
      </c>
      <c r="J177" s="399">
        <v>0.85</v>
      </c>
      <c r="K177" s="305">
        <f>'6 Oversikt startpunkt'!F85</f>
        <v>0.5</v>
      </c>
      <c r="L177" s="399">
        <v>0.85</v>
      </c>
      <c r="M177" s="209">
        <f>'6 Oversikt startpunkt'!G85</f>
        <v>0.5</v>
      </c>
      <c r="N177" s="399">
        <v>0.85</v>
      </c>
      <c r="O177" s="305">
        <f>'6 Oversikt startpunkt'!H85</f>
        <v>0.5</v>
      </c>
      <c r="P177" s="399">
        <v>0.85</v>
      </c>
      <c r="Q177" s="209">
        <f>'6 Oversikt startpunkt'!I85</f>
        <v>0.5</v>
      </c>
      <c r="R177" s="399">
        <v>0.85</v>
      </c>
      <c r="S177" s="305">
        <f>'6 Oversikt startpunkt'!J85</f>
        <v>0.5</v>
      </c>
      <c r="T177" s="399">
        <v>0.85</v>
      </c>
      <c r="U177" s="209">
        <f>'6 Oversikt startpunkt'!K85</f>
        <v>0.5</v>
      </c>
      <c r="V177" s="399">
        <v>0.85</v>
      </c>
      <c r="W177" s="305">
        <f>'6 Oversikt startpunkt'!L85</f>
        <v>0.5</v>
      </c>
      <c r="X177" s="399">
        <v>0.85</v>
      </c>
      <c r="Y177" s="305">
        <f>'6 Oversikt startpunkt'!M85</f>
        <v>0.5</v>
      </c>
      <c r="Z177" s="399">
        <v>0.85</v>
      </c>
    </row>
    <row r="178" spans="1:26" x14ac:dyDescent="0.2">
      <c r="A178" s="699"/>
      <c r="B178" s="78" t="s">
        <v>510</v>
      </c>
      <c r="C178" s="370"/>
      <c r="D178" s="371"/>
      <c r="E178" s="370"/>
      <c r="F178" s="371"/>
      <c r="G178" s="305">
        <f>'6 Oversikt startpunkt'!D86</f>
        <v>-2</v>
      </c>
      <c r="H178" s="399" t="str">
        <f>'7 Passivhusnivå'!F35</f>
        <v>Ingen</v>
      </c>
      <c r="I178" s="209">
        <f>'6 Oversikt startpunkt'!E86</f>
        <v>-2</v>
      </c>
      <c r="J178" s="209" t="str">
        <f>'7 Passivhusnivå'!G35</f>
        <v>Ingen</v>
      </c>
      <c r="K178" s="305">
        <f>'6 Oversikt startpunkt'!F86</f>
        <v>-2</v>
      </c>
      <c r="L178" s="399" t="str">
        <f>'7 Passivhusnivå'!H35</f>
        <v>Ingen</v>
      </c>
      <c r="M178" s="209">
        <f>'6 Oversikt startpunkt'!G86</f>
        <v>-2</v>
      </c>
      <c r="N178" s="209" t="str">
        <f>'7 Passivhusnivå'!I35</f>
        <v>Ingen</v>
      </c>
      <c r="O178" s="305">
        <f>'6 Oversikt startpunkt'!H86</f>
        <v>-2</v>
      </c>
      <c r="P178" s="399" t="str">
        <f>'7 Passivhusnivå'!J35</f>
        <v>Ingen</v>
      </c>
      <c r="Q178" s="209">
        <f>'6 Oversikt startpunkt'!I86</f>
        <v>-2</v>
      </c>
      <c r="R178" s="209" t="str">
        <f>'7 Passivhusnivå'!K35</f>
        <v>Ingen</v>
      </c>
      <c r="S178" s="305">
        <f>'6 Oversikt startpunkt'!J86</f>
        <v>-2</v>
      </c>
      <c r="T178" s="399" t="str">
        <f>'7 Passivhusnivå'!L35</f>
        <v>Ingen</v>
      </c>
      <c r="U178" s="209">
        <f>'6 Oversikt startpunkt'!K86</f>
        <v>-2</v>
      </c>
      <c r="V178" s="209" t="str">
        <f>'7 Passivhusnivå'!M35</f>
        <v>Ingen</v>
      </c>
      <c r="W178" s="305">
        <f>'6 Oversikt startpunkt'!L86</f>
        <v>-2</v>
      </c>
      <c r="X178" s="367" t="str">
        <f>'7 Passivhusnivå'!N35</f>
        <v>Ingen</v>
      </c>
      <c r="Y178" s="305">
        <f>'6 Oversikt startpunkt'!M86</f>
        <v>-2</v>
      </c>
      <c r="Z178" s="399" t="str">
        <f>'7 Passivhusnivå'!O35</f>
        <v>Ingen</v>
      </c>
    </row>
    <row r="179" spans="1:26" x14ac:dyDescent="0.2">
      <c r="A179" s="699"/>
      <c r="B179" s="78" t="s">
        <v>283</v>
      </c>
      <c r="C179" s="372"/>
      <c r="D179" s="373"/>
      <c r="E179" s="372"/>
      <c r="F179" s="373"/>
      <c r="G179" s="305">
        <f>'6 Oversikt startpunkt'!D87</f>
        <v>4</v>
      </c>
      <c r="H179" s="399">
        <v>2</v>
      </c>
      <c r="I179" s="209">
        <f>'6 Oversikt startpunkt'!E87</f>
        <v>4</v>
      </c>
      <c r="J179" s="209">
        <v>2</v>
      </c>
      <c r="K179" s="305">
        <f>'6 Oversikt startpunkt'!F87</f>
        <v>4</v>
      </c>
      <c r="L179" s="399">
        <v>2</v>
      </c>
      <c r="M179" s="209">
        <f>'6 Oversikt startpunkt'!G87</f>
        <v>4</v>
      </c>
      <c r="N179" s="209">
        <v>2</v>
      </c>
      <c r="O179" s="305">
        <f>'6 Oversikt startpunkt'!H87</f>
        <v>4</v>
      </c>
      <c r="P179" s="399">
        <v>2</v>
      </c>
      <c r="Q179" s="209">
        <f>'6 Oversikt startpunkt'!I87</f>
        <v>4</v>
      </c>
      <c r="R179" s="209">
        <v>2</v>
      </c>
      <c r="S179" s="305">
        <f>'6 Oversikt startpunkt'!J87</f>
        <v>4</v>
      </c>
      <c r="T179" s="399">
        <v>2</v>
      </c>
      <c r="U179" s="209">
        <f>'6 Oversikt startpunkt'!K87</f>
        <v>4</v>
      </c>
      <c r="V179" s="209">
        <v>2</v>
      </c>
      <c r="W179" s="305">
        <f>'6 Oversikt startpunkt'!L87</f>
        <v>4</v>
      </c>
      <c r="X179" s="367">
        <v>2</v>
      </c>
      <c r="Y179" s="305">
        <f>'6 Oversikt startpunkt'!M87</f>
        <v>4</v>
      </c>
      <c r="Z179" s="399">
        <v>2</v>
      </c>
    </row>
    <row r="180" spans="1:26" s="216" customFormat="1" x14ac:dyDescent="0.2">
      <c r="A180" s="699"/>
      <c r="B180" s="360" t="s">
        <v>490</v>
      </c>
      <c r="C180" s="353"/>
      <c r="D180" s="374"/>
      <c r="E180" s="353"/>
      <c r="F180" s="354"/>
      <c r="G180" s="292" t="s">
        <v>372</v>
      </c>
      <c r="H180" s="290" t="s">
        <v>397</v>
      </c>
      <c r="I180" s="289" t="s">
        <v>372</v>
      </c>
      <c r="J180" s="291" t="s">
        <v>397</v>
      </c>
      <c r="K180" s="292" t="s">
        <v>372</v>
      </c>
      <c r="L180" s="290" t="s">
        <v>397</v>
      </c>
      <c r="M180" s="289" t="s">
        <v>372</v>
      </c>
      <c r="N180" s="290" t="s">
        <v>397</v>
      </c>
      <c r="O180" s="289" t="s">
        <v>372</v>
      </c>
      <c r="P180" s="290" t="s">
        <v>397</v>
      </c>
      <c r="Q180" s="289" t="s">
        <v>372</v>
      </c>
      <c r="R180" s="290" t="s">
        <v>397</v>
      </c>
      <c r="S180" s="289" t="s">
        <v>372</v>
      </c>
      <c r="T180" s="290" t="s">
        <v>397</v>
      </c>
      <c r="U180" s="289" t="s">
        <v>372</v>
      </c>
      <c r="V180" s="290" t="s">
        <v>397</v>
      </c>
      <c r="W180" s="289" t="s">
        <v>372</v>
      </c>
      <c r="X180" s="290" t="s">
        <v>397</v>
      </c>
      <c r="Y180" s="289" t="s">
        <v>372</v>
      </c>
      <c r="Z180" s="291" t="s">
        <v>397</v>
      </c>
    </row>
    <row r="181" spans="1:26" x14ac:dyDescent="0.2">
      <c r="A181" s="699"/>
      <c r="B181" s="205" t="s">
        <v>373</v>
      </c>
      <c r="C181" s="355"/>
      <c r="D181" s="375"/>
      <c r="E181" s="355"/>
      <c r="F181" s="376"/>
      <c r="G181" s="285">
        <v>110573</v>
      </c>
      <c r="H181" s="231">
        <v>368.6</v>
      </c>
      <c r="I181" s="230">
        <v>611181</v>
      </c>
      <c r="J181" s="273">
        <v>169.8</v>
      </c>
      <c r="K181" s="285">
        <v>519302</v>
      </c>
      <c r="L181" s="231">
        <v>216.4</v>
      </c>
      <c r="M181" s="230">
        <v>624020</v>
      </c>
      <c r="N181" s="231">
        <v>173.3</v>
      </c>
      <c r="O181" s="230">
        <v>699003</v>
      </c>
      <c r="P181" s="231">
        <v>194.2</v>
      </c>
      <c r="Q181" s="230">
        <v>396901</v>
      </c>
      <c r="R181" s="231">
        <v>165.4</v>
      </c>
      <c r="S181" s="230">
        <v>547874</v>
      </c>
      <c r="T181" s="231">
        <v>228.3</v>
      </c>
      <c r="U181" s="230">
        <v>1221379</v>
      </c>
      <c r="V181" s="231">
        <v>381.7</v>
      </c>
      <c r="W181" s="230">
        <v>585825</v>
      </c>
      <c r="X181" s="231">
        <v>162.69999999999999</v>
      </c>
      <c r="Y181" s="230">
        <v>639859</v>
      </c>
      <c r="Z181" s="273">
        <v>266.60000000000002</v>
      </c>
    </row>
    <row r="182" spans="1:26" x14ac:dyDescent="0.2">
      <c r="A182" s="699"/>
      <c r="B182" s="205" t="s">
        <v>374</v>
      </c>
      <c r="C182" s="355"/>
      <c r="D182" s="375"/>
      <c r="E182" s="355"/>
      <c r="F182" s="376"/>
      <c r="G182" s="285">
        <v>302</v>
      </c>
      <c r="H182" s="231">
        <v>1</v>
      </c>
      <c r="I182" s="230">
        <v>4196</v>
      </c>
      <c r="J182" s="273">
        <v>1.2</v>
      </c>
      <c r="K182" s="285">
        <v>2937</v>
      </c>
      <c r="L182" s="231">
        <v>1.2</v>
      </c>
      <c r="M182" s="230">
        <v>4896</v>
      </c>
      <c r="N182" s="231">
        <v>1.4</v>
      </c>
      <c r="O182" s="230">
        <v>12544</v>
      </c>
      <c r="P182" s="231">
        <v>3.5</v>
      </c>
      <c r="Q182" s="230">
        <v>6768</v>
      </c>
      <c r="R182" s="231">
        <v>2.8</v>
      </c>
      <c r="S182" s="230">
        <v>3924</v>
      </c>
      <c r="T182" s="231">
        <v>1.6</v>
      </c>
      <c r="U182" s="230">
        <v>22620</v>
      </c>
      <c r="V182" s="231">
        <v>7.1</v>
      </c>
      <c r="W182" s="230">
        <v>8434</v>
      </c>
      <c r="X182" s="231">
        <v>2.2999999999999998</v>
      </c>
      <c r="Y182" s="230">
        <v>2419</v>
      </c>
      <c r="Z182" s="273">
        <v>1</v>
      </c>
    </row>
    <row r="183" spans="1:26" x14ac:dyDescent="0.2">
      <c r="A183" s="699"/>
      <c r="B183" s="205" t="s">
        <v>375</v>
      </c>
      <c r="C183" s="355"/>
      <c r="D183" s="375"/>
      <c r="E183" s="355"/>
      <c r="F183" s="376"/>
      <c r="G183" s="285">
        <v>3007</v>
      </c>
      <c r="H183" s="231">
        <v>10</v>
      </c>
      <c r="I183" s="230">
        <v>18040</v>
      </c>
      <c r="J183" s="273">
        <v>5</v>
      </c>
      <c r="K183" s="285">
        <v>23530</v>
      </c>
      <c r="L183" s="231">
        <v>9.8000000000000007</v>
      </c>
      <c r="M183" s="230">
        <v>18040</v>
      </c>
      <c r="N183" s="231">
        <v>5</v>
      </c>
      <c r="O183" s="230">
        <v>107170</v>
      </c>
      <c r="P183" s="231">
        <v>29.8</v>
      </c>
      <c r="Q183" s="230">
        <v>71482</v>
      </c>
      <c r="R183" s="231">
        <v>29.8</v>
      </c>
      <c r="S183" s="230">
        <v>71482</v>
      </c>
      <c r="T183" s="231">
        <v>29.8</v>
      </c>
      <c r="U183" s="230">
        <v>156864</v>
      </c>
      <c r="V183" s="231">
        <v>49</v>
      </c>
      <c r="W183" s="230">
        <v>36408</v>
      </c>
      <c r="X183" s="231">
        <v>10.1</v>
      </c>
      <c r="Y183" s="230">
        <v>24054</v>
      </c>
      <c r="Z183" s="273">
        <v>10</v>
      </c>
    </row>
    <row r="184" spans="1:26" x14ac:dyDescent="0.2">
      <c r="A184" s="699"/>
      <c r="B184" s="205" t="s">
        <v>376</v>
      </c>
      <c r="C184" s="355"/>
      <c r="D184" s="375"/>
      <c r="E184" s="355"/>
      <c r="F184" s="376"/>
      <c r="G184" s="285">
        <v>3393</v>
      </c>
      <c r="H184" s="231">
        <v>11.3</v>
      </c>
      <c r="I184" s="230">
        <v>46980</v>
      </c>
      <c r="J184" s="273">
        <v>13.1</v>
      </c>
      <c r="K184" s="285">
        <v>29811</v>
      </c>
      <c r="L184" s="231">
        <v>12.4</v>
      </c>
      <c r="M184" s="230">
        <v>54810</v>
      </c>
      <c r="N184" s="231">
        <v>15.2</v>
      </c>
      <c r="O184" s="230">
        <v>129636</v>
      </c>
      <c r="P184" s="231">
        <v>36</v>
      </c>
      <c r="Q184" s="230">
        <v>68106</v>
      </c>
      <c r="R184" s="231">
        <v>28.4</v>
      </c>
      <c r="S184" s="230">
        <v>46238</v>
      </c>
      <c r="T184" s="231">
        <v>19.3</v>
      </c>
      <c r="U184" s="230">
        <v>34397</v>
      </c>
      <c r="V184" s="231">
        <v>10.7</v>
      </c>
      <c r="W184" s="230">
        <v>102986</v>
      </c>
      <c r="X184" s="231">
        <v>28.6</v>
      </c>
      <c r="Y184" s="230">
        <v>29232</v>
      </c>
      <c r="Z184" s="273">
        <v>12.2</v>
      </c>
    </row>
    <row r="185" spans="1:26" x14ac:dyDescent="0.2">
      <c r="A185" s="699"/>
      <c r="B185" s="205" t="s">
        <v>377</v>
      </c>
      <c r="C185" s="355"/>
      <c r="D185" s="375"/>
      <c r="E185" s="355"/>
      <c r="F185" s="376"/>
      <c r="G185" s="285">
        <v>443</v>
      </c>
      <c r="H185" s="231">
        <v>1.5</v>
      </c>
      <c r="I185" s="230">
        <v>6473</v>
      </c>
      <c r="J185" s="273">
        <v>1.8</v>
      </c>
      <c r="K185" s="285">
        <v>2519</v>
      </c>
      <c r="L185" s="231">
        <v>1</v>
      </c>
      <c r="M185" s="230">
        <v>7027</v>
      </c>
      <c r="N185" s="231">
        <v>2</v>
      </c>
      <c r="O185" s="230">
        <v>7610</v>
      </c>
      <c r="P185" s="231">
        <v>2.1</v>
      </c>
      <c r="Q185" s="230">
        <v>2082</v>
      </c>
      <c r="R185" s="231">
        <v>0.9</v>
      </c>
      <c r="S185" s="230">
        <v>4053</v>
      </c>
      <c r="T185" s="231">
        <v>1.7</v>
      </c>
      <c r="U185" s="230">
        <v>4991</v>
      </c>
      <c r="V185" s="231">
        <v>1.6</v>
      </c>
      <c r="W185" s="230">
        <v>9232</v>
      </c>
      <c r="X185" s="231">
        <v>2.6</v>
      </c>
      <c r="Y185" s="230">
        <v>4729</v>
      </c>
      <c r="Z185" s="273">
        <v>2</v>
      </c>
    </row>
    <row r="186" spans="1:26" x14ac:dyDescent="0.2">
      <c r="A186" s="699"/>
      <c r="B186" s="205" t="s">
        <v>378</v>
      </c>
      <c r="C186" s="355"/>
      <c r="D186" s="375"/>
      <c r="E186" s="355"/>
      <c r="F186" s="376"/>
      <c r="G186" s="285">
        <v>15269</v>
      </c>
      <c r="H186" s="231">
        <v>50.9</v>
      </c>
      <c r="I186" s="230">
        <v>211453</v>
      </c>
      <c r="J186" s="273">
        <v>58.7</v>
      </c>
      <c r="K186" s="285">
        <v>125759</v>
      </c>
      <c r="L186" s="231">
        <v>52.4</v>
      </c>
      <c r="M186" s="230">
        <v>211453</v>
      </c>
      <c r="N186" s="231">
        <v>58.7</v>
      </c>
      <c r="O186" s="230">
        <v>374581</v>
      </c>
      <c r="P186" s="231">
        <v>104.1</v>
      </c>
      <c r="Q186" s="230">
        <v>249557</v>
      </c>
      <c r="R186" s="231">
        <v>104</v>
      </c>
      <c r="S186" s="230">
        <v>249557</v>
      </c>
      <c r="T186" s="231">
        <v>104</v>
      </c>
      <c r="U186" s="230">
        <v>154800</v>
      </c>
      <c r="V186" s="231">
        <v>48.4</v>
      </c>
      <c r="W186" s="230">
        <v>473873</v>
      </c>
      <c r="X186" s="231">
        <v>131.6</v>
      </c>
      <c r="Y186" s="230">
        <v>131544</v>
      </c>
      <c r="Z186" s="273">
        <v>54.8</v>
      </c>
    </row>
    <row r="187" spans="1:26" x14ac:dyDescent="0.2">
      <c r="A187" s="699"/>
      <c r="B187" s="205" t="s">
        <v>379</v>
      </c>
      <c r="C187" s="355"/>
      <c r="D187" s="375"/>
      <c r="E187" s="355"/>
      <c r="F187" s="376"/>
      <c r="G187" s="285">
        <v>2036</v>
      </c>
      <c r="H187" s="231">
        <v>6.8</v>
      </c>
      <c r="I187" s="230">
        <v>155070</v>
      </c>
      <c r="J187" s="273">
        <v>43.1</v>
      </c>
      <c r="K187" s="285">
        <v>40248</v>
      </c>
      <c r="L187" s="231">
        <v>16.8</v>
      </c>
      <c r="M187" s="230">
        <v>155070</v>
      </c>
      <c r="N187" s="231">
        <v>43.1</v>
      </c>
      <c r="O187" s="230">
        <v>199728</v>
      </c>
      <c r="P187" s="231">
        <v>55.5</v>
      </c>
      <c r="Q187" s="230">
        <v>66576</v>
      </c>
      <c r="R187" s="231">
        <v>27.7</v>
      </c>
      <c r="S187" s="230">
        <v>16644</v>
      </c>
      <c r="T187" s="231">
        <v>6.9</v>
      </c>
      <c r="U187" s="230">
        <v>10320</v>
      </c>
      <c r="V187" s="231">
        <v>3.2</v>
      </c>
      <c r="W187" s="230">
        <v>16848</v>
      </c>
      <c r="X187" s="231">
        <v>4.7</v>
      </c>
      <c r="Y187" s="230">
        <v>8770</v>
      </c>
      <c r="Z187" s="273">
        <v>3.7</v>
      </c>
    </row>
    <row r="188" spans="1:26" x14ac:dyDescent="0.2">
      <c r="A188" s="699"/>
      <c r="B188" s="205" t="s">
        <v>380</v>
      </c>
      <c r="C188" s="355"/>
      <c r="D188" s="375"/>
      <c r="E188" s="377"/>
      <c r="F188" s="376"/>
      <c r="G188" s="285">
        <v>0</v>
      </c>
      <c r="H188" s="231">
        <v>0</v>
      </c>
      <c r="I188" s="230">
        <v>0</v>
      </c>
      <c r="J188" s="273">
        <v>0</v>
      </c>
      <c r="K188" s="285">
        <v>0</v>
      </c>
      <c r="L188" s="231">
        <v>0</v>
      </c>
      <c r="M188" s="230">
        <v>0</v>
      </c>
      <c r="N188" s="231">
        <v>0</v>
      </c>
      <c r="O188" s="230">
        <v>0</v>
      </c>
      <c r="P188" s="231">
        <v>0</v>
      </c>
      <c r="Q188" s="230">
        <v>0</v>
      </c>
      <c r="R188" s="231">
        <v>0</v>
      </c>
      <c r="S188" s="230">
        <v>0</v>
      </c>
      <c r="T188" s="231">
        <v>0</v>
      </c>
      <c r="U188" s="230">
        <v>0</v>
      </c>
      <c r="V188" s="231">
        <v>0</v>
      </c>
      <c r="W188" s="230">
        <v>0</v>
      </c>
      <c r="X188" s="231">
        <v>0</v>
      </c>
      <c r="Y188" s="230">
        <v>0</v>
      </c>
      <c r="Z188" s="273">
        <v>0</v>
      </c>
    </row>
    <row r="189" spans="1:26" x14ac:dyDescent="0.2">
      <c r="A189" s="699"/>
      <c r="B189" s="205" t="s">
        <v>381</v>
      </c>
      <c r="C189" s="355"/>
      <c r="D189" s="375"/>
      <c r="E189" s="377"/>
      <c r="F189" s="376"/>
      <c r="G189" s="285">
        <v>0</v>
      </c>
      <c r="H189" s="231">
        <v>0</v>
      </c>
      <c r="I189" s="230">
        <v>14047</v>
      </c>
      <c r="J189" s="273">
        <v>3.9</v>
      </c>
      <c r="K189" s="285">
        <v>0</v>
      </c>
      <c r="L189" s="231">
        <v>0</v>
      </c>
      <c r="M189" s="230">
        <v>16388</v>
      </c>
      <c r="N189" s="231">
        <v>4.5999999999999996</v>
      </c>
      <c r="O189" s="230">
        <v>32205</v>
      </c>
      <c r="P189" s="231">
        <v>8.9</v>
      </c>
      <c r="Q189" s="230">
        <v>0</v>
      </c>
      <c r="R189" s="231">
        <v>0</v>
      </c>
      <c r="S189" s="230">
        <v>12114</v>
      </c>
      <c r="T189" s="231">
        <v>5</v>
      </c>
      <c r="U189" s="230">
        <v>0</v>
      </c>
      <c r="V189" s="231">
        <v>0</v>
      </c>
      <c r="W189" s="230">
        <v>32797</v>
      </c>
      <c r="X189" s="231">
        <v>9.1</v>
      </c>
      <c r="Y189" s="230">
        <v>9397</v>
      </c>
      <c r="Z189" s="273">
        <v>3.9</v>
      </c>
    </row>
    <row r="190" spans="1:26" s="20" customFormat="1" x14ac:dyDescent="0.2">
      <c r="A190" s="699"/>
      <c r="B190" s="284" t="s">
        <v>382</v>
      </c>
      <c r="C190" s="357"/>
      <c r="D190" s="378"/>
      <c r="E190" s="357"/>
      <c r="F190" s="379"/>
      <c r="G190" s="286">
        <v>135021</v>
      </c>
      <c r="H190" s="276">
        <v>450.1</v>
      </c>
      <c r="I190" s="275">
        <v>1067439</v>
      </c>
      <c r="J190" s="279">
        <v>296.5</v>
      </c>
      <c r="K190" s="286">
        <v>744104</v>
      </c>
      <c r="L190" s="276">
        <v>310</v>
      </c>
      <c r="M190" s="275">
        <v>1091704</v>
      </c>
      <c r="N190" s="276">
        <v>303.3</v>
      </c>
      <c r="O190" s="275">
        <v>1562478</v>
      </c>
      <c r="P190" s="276">
        <v>434</v>
      </c>
      <c r="Q190" s="275">
        <v>861472</v>
      </c>
      <c r="R190" s="276">
        <v>358.9</v>
      </c>
      <c r="S190" s="275">
        <v>951886</v>
      </c>
      <c r="T190" s="276">
        <v>396.6</v>
      </c>
      <c r="U190" s="275">
        <v>1605370</v>
      </c>
      <c r="V190" s="276">
        <v>501.7</v>
      </c>
      <c r="W190" s="275">
        <v>1266403</v>
      </c>
      <c r="X190" s="276">
        <v>351.8</v>
      </c>
      <c r="Y190" s="275">
        <v>850003</v>
      </c>
      <c r="Z190" s="279">
        <v>354.2</v>
      </c>
    </row>
    <row r="191" spans="1:26" s="216" customFormat="1" x14ac:dyDescent="0.2">
      <c r="A191" s="699"/>
      <c r="B191" s="361" t="s">
        <v>574</v>
      </c>
      <c r="C191" s="353"/>
      <c r="D191" s="354"/>
      <c r="E191" s="353"/>
      <c r="F191" s="354"/>
      <c r="G191" s="353" t="s">
        <v>372</v>
      </c>
      <c r="H191" s="354" t="s">
        <v>397</v>
      </c>
      <c r="I191" s="353" t="s">
        <v>372</v>
      </c>
      <c r="J191" s="354" t="s">
        <v>397</v>
      </c>
      <c r="K191" s="353" t="s">
        <v>372</v>
      </c>
      <c r="L191" s="354" t="s">
        <v>397</v>
      </c>
      <c r="M191" s="353" t="s">
        <v>372</v>
      </c>
      <c r="N191" s="354" t="s">
        <v>397</v>
      </c>
      <c r="O191" s="353" t="s">
        <v>372</v>
      </c>
      <c r="P191" s="354" t="s">
        <v>397</v>
      </c>
      <c r="Q191" s="353" t="s">
        <v>372</v>
      </c>
      <c r="R191" s="354" t="s">
        <v>397</v>
      </c>
      <c r="S191" s="353" t="s">
        <v>372</v>
      </c>
      <c r="T191" s="354" t="s">
        <v>397</v>
      </c>
      <c r="U191" s="353" t="s">
        <v>372</v>
      </c>
      <c r="V191" s="354" t="s">
        <v>397</v>
      </c>
      <c r="W191" s="353" t="s">
        <v>372</v>
      </c>
      <c r="X191" s="354" t="s">
        <v>397</v>
      </c>
      <c r="Y191" s="353" t="s">
        <v>372</v>
      </c>
      <c r="Z191" s="354" t="s">
        <v>397</v>
      </c>
    </row>
    <row r="192" spans="1:26" x14ac:dyDescent="0.2">
      <c r="A192" s="699"/>
      <c r="B192" s="362" t="s">
        <v>373</v>
      </c>
      <c r="C192" s="355"/>
      <c r="D192" s="356"/>
      <c r="E192" s="355"/>
      <c r="F192" s="356"/>
      <c r="G192" s="355">
        <f>G$6-G181</f>
        <v>6048</v>
      </c>
      <c r="H192" s="356">
        <f t="shared" ref="H192:Z192" si="61">H$6-H181</f>
        <v>20.099999999999966</v>
      </c>
      <c r="I192" s="355">
        <f t="shared" si="61"/>
        <v>84527</v>
      </c>
      <c r="J192" s="356">
        <f t="shared" si="61"/>
        <v>23.5</v>
      </c>
      <c r="K192" s="355">
        <f t="shared" si="61"/>
        <v>61916</v>
      </c>
      <c r="L192" s="356">
        <f t="shared" si="61"/>
        <v>25.799999999999983</v>
      </c>
      <c r="M192" s="355">
        <f t="shared" si="61"/>
        <v>136848</v>
      </c>
      <c r="N192" s="356">
        <f t="shared" si="61"/>
        <v>38.099999999999994</v>
      </c>
      <c r="O192" s="355">
        <f t="shared" si="61"/>
        <v>304759</v>
      </c>
      <c r="P192" s="356">
        <f t="shared" si="61"/>
        <v>84.600000000000023</v>
      </c>
      <c r="Q192" s="355">
        <f t="shared" si="61"/>
        <v>108455</v>
      </c>
      <c r="R192" s="356">
        <f t="shared" si="61"/>
        <v>45.199999999999989</v>
      </c>
      <c r="S192" s="355">
        <f t="shared" si="61"/>
        <v>148400</v>
      </c>
      <c r="T192" s="356">
        <f t="shared" si="61"/>
        <v>61.800000000000011</v>
      </c>
      <c r="U192" s="355">
        <f t="shared" si="61"/>
        <v>23023</v>
      </c>
      <c r="V192" s="356">
        <f t="shared" si="61"/>
        <v>7.1999999999999886</v>
      </c>
      <c r="W192" s="355">
        <f t="shared" si="61"/>
        <v>276045</v>
      </c>
      <c r="X192" s="356">
        <f t="shared" si="61"/>
        <v>76.700000000000017</v>
      </c>
      <c r="Y192" s="355">
        <f t="shared" si="61"/>
        <v>91452</v>
      </c>
      <c r="Z192" s="356">
        <f t="shared" si="61"/>
        <v>38.099999999999966</v>
      </c>
    </row>
    <row r="193" spans="1:26" x14ac:dyDescent="0.2">
      <c r="A193" s="699"/>
      <c r="B193" s="362" t="s">
        <v>374</v>
      </c>
      <c r="C193" s="355"/>
      <c r="D193" s="356"/>
      <c r="E193" s="355"/>
      <c r="F193" s="356"/>
      <c r="G193" s="355">
        <f t="shared" ref="G193:Z193" si="62">G$7-G182</f>
        <v>20391</v>
      </c>
      <c r="H193" s="356">
        <f t="shared" si="62"/>
        <v>68</v>
      </c>
      <c r="I193" s="355">
        <f t="shared" si="62"/>
        <v>213422</v>
      </c>
      <c r="J193" s="356">
        <f t="shared" si="62"/>
        <v>59.199999999999996</v>
      </c>
      <c r="K193" s="355">
        <f t="shared" si="62"/>
        <v>191847</v>
      </c>
      <c r="L193" s="356">
        <f t="shared" si="62"/>
        <v>80</v>
      </c>
      <c r="M193" s="355">
        <f t="shared" si="62"/>
        <v>278543</v>
      </c>
      <c r="N193" s="356">
        <f t="shared" si="62"/>
        <v>77.3</v>
      </c>
      <c r="O193" s="355">
        <f t="shared" si="62"/>
        <v>639486</v>
      </c>
      <c r="P193" s="356">
        <f t="shared" si="62"/>
        <v>177.6</v>
      </c>
      <c r="Q193" s="355">
        <f t="shared" si="62"/>
        <v>424665</v>
      </c>
      <c r="R193" s="356">
        <f t="shared" si="62"/>
        <v>177</v>
      </c>
      <c r="S193" s="355">
        <f t="shared" si="62"/>
        <v>250063</v>
      </c>
      <c r="T193" s="356">
        <f t="shared" si="62"/>
        <v>104.2</v>
      </c>
      <c r="U193" s="355">
        <f t="shared" si="62"/>
        <v>254004</v>
      </c>
      <c r="V193" s="356">
        <f t="shared" si="62"/>
        <v>79.300000000000011</v>
      </c>
      <c r="W193" s="355">
        <f t="shared" si="62"/>
        <v>485318</v>
      </c>
      <c r="X193" s="356">
        <f t="shared" si="62"/>
        <v>134.89999999999998</v>
      </c>
      <c r="Y193" s="355">
        <f t="shared" si="62"/>
        <v>157212</v>
      </c>
      <c r="Z193" s="356">
        <f t="shared" si="62"/>
        <v>65.5</v>
      </c>
    </row>
    <row r="194" spans="1:26" x14ac:dyDescent="0.2">
      <c r="A194" s="699"/>
      <c r="B194" s="362" t="s">
        <v>375</v>
      </c>
      <c r="C194" s="355"/>
      <c r="D194" s="356"/>
      <c r="E194" s="355"/>
      <c r="F194" s="356"/>
      <c r="G194" s="355">
        <f t="shared" ref="G194:Z194" si="63">G$8-G183</f>
        <v>0</v>
      </c>
      <c r="H194" s="356">
        <f t="shared" si="63"/>
        <v>0</v>
      </c>
      <c r="I194" s="355">
        <f t="shared" si="63"/>
        <v>0</v>
      </c>
      <c r="J194" s="356">
        <f t="shared" si="63"/>
        <v>0</v>
      </c>
      <c r="K194" s="355">
        <f t="shared" si="63"/>
        <v>0</v>
      </c>
      <c r="L194" s="356">
        <f t="shared" si="63"/>
        <v>0</v>
      </c>
      <c r="M194" s="355">
        <f t="shared" si="63"/>
        <v>0</v>
      </c>
      <c r="N194" s="356">
        <f t="shared" si="63"/>
        <v>0</v>
      </c>
      <c r="O194" s="355">
        <f t="shared" si="63"/>
        <v>0</v>
      </c>
      <c r="P194" s="356">
        <f t="shared" si="63"/>
        <v>0</v>
      </c>
      <c r="Q194" s="355">
        <f t="shared" si="63"/>
        <v>0</v>
      </c>
      <c r="R194" s="356">
        <f t="shared" si="63"/>
        <v>0</v>
      </c>
      <c r="S194" s="355">
        <f t="shared" si="63"/>
        <v>0</v>
      </c>
      <c r="T194" s="356">
        <f t="shared" si="63"/>
        <v>0</v>
      </c>
      <c r="U194" s="355">
        <f t="shared" si="63"/>
        <v>0</v>
      </c>
      <c r="V194" s="356">
        <f t="shared" si="63"/>
        <v>0</v>
      </c>
      <c r="W194" s="355">
        <f t="shared" si="63"/>
        <v>0</v>
      </c>
      <c r="X194" s="356">
        <f t="shared" si="63"/>
        <v>0</v>
      </c>
      <c r="Y194" s="355">
        <f t="shared" si="63"/>
        <v>0</v>
      </c>
      <c r="Z194" s="356">
        <f t="shared" si="63"/>
        <v>0</v>
      </c>
    </row>
    <row r="195" spans="1:26" x14ac:dyDescent="0.2">
      <c r="A195" s="699"/>
      <c r="B195" s="362" t="s">
        <v>376</v>
      </c>
      <c r="C195" s="355"/>
      <c r="D195" s="356"/>
      <c r="E195" s="355"/>
      <c r="F195" s="356"/>
      <c r="G195" s="355">
        <f t="shared" ref="G195:Z195" si="64">G$9-G184</f>
        <v>10179</v>
      </c>
      <c r="H195" s="356">
        <f t="shared" si="64"/>
        <v>33.900000000000006</v>
      </c>
      <c r="I195" s="355">
        <f t="shared" si="64"/>
        <v>109620</v>
      </c>
      <c r="J195" s="356">
        <f t="shared" si="64"/>
        <v>30.4</v>
      </c>
      <c r="K195" s="355">
        <f t="shared" si="64"/>
        <v>89433</v>
      </c>
      <c r="L195" s="356">
        <f t="shared" si="64"/>
        <v>37.300000000000004</v>
      </c>
      <c r="M195" s="355">
        <f t="shared" si="64"/>
        <v>148727</v>
      </c>
      <c r="N195" s="356">
        <f t="shared" si="64"/>
        <v>41.3</v>
      </c>
      <c r="O195" s="355">
        <f t="shared" si="64"/>
        <v>324481</v>
      </c>
      <c r="P195" s="356">
        <f t="shared" si="64"/>
        <v>90.1</v>
      </c>
      <c r="Q195" s="355">
        <f t="shared" si="64"/>
        <v>197428</v>
      </c>
      <c r="R195" s="356">
        <f t="shared" si="64"/>
        <v>82.199999999999989</v>
      </c>
      <c r="S195" s="355">
        <f t="shared" si="64"/>
        <v>138714</v>
      </c>
      <c r="T195" s="356">
        <f t="shared" si="64"/>
        <v>57.8</v>
      </c>
      <c r="U195" s="355">
        <f t="shared" si="64"/>
        <v>103191</v>
      </c>
      <c r="V195" s="356">
        <f t="shared" si="64"/>
        <v>32.299999999999997</v>
      </c>
      <c r="W195" s="355">
        <f t="shared" si="64"/>
        <v>271414</v>
      </c>
      <c r="X195" s="356">
        <f t="shared" si="64"/>
        <v>75.400000000000006</v>
      </c>
      <c r="Y195" s="355">
        <f t="shared" si="64"/>
        <v>87696</v>
      </c>
      <c r="Z195" s="356">
        <f t="shared" si="64"/>
        <v>36.5</v>
      </c>
    </row>
    <row r="196" spans="1:26" x14ac:dyDescent="0.2">
      <c r="A196" s="699"/>
      <c r="B196" s="362" t="s">
        <v>377</v>
      </c>
      <c r="C196" s="355"/>
      <c r="D196" s="356"/>
      <c r="E196" s="355"/>
      <c r="F196" s="356"/>
      <c r="G196" s="355">
        <f t="shared" ref="G196:Z196" si="65">G$10-G185</f>
        <v>142</v>
      </c>
      <c r="H196" s="356">
        <f t="shared" si="65"/>
        <v>0.5</v>
      </c>
      <c r="I196" s="355">
        <f t="shared" si="65"/>
        <v>2309</v>
      </c>
      <c r="J196" s="356">
        <f t="shared" si="65"/>
        <v>0.59999999999999987</v>
      </c>
      <c r="K196" s="355">
        <f t="shared" si="65"/>
        <v>2116</v>
      </c>
      <c r="L196" s="356">
        <f t="shared" si="65"/>
        <v>0.89999999999999991</v>
      </c>
      <c r="M196" s="355">
        <f t="shared" si="65"/>
        <v>3010</v>
      </c>
      <c r="N196" s="356">
        <f t="shared" si="65"/>
        <v>0.79999999999999982</v>
      </c>
      <c r="O196" s="355">
        <f t="shared" si="65"/>
        <v>4626</v>
      </c>
      <c r="P196" s="356">
        <f t="shared" si="65"/>
        <v>1.2999999999999998</v>
      </c>
      <c r="Q196" s="355">
        <f t="shared" si="65"/>
        <v>1597</v>
      </c>
      <c r="R196" s="356">
        <f t="shared" si="65"/>
        <v>0.6</v>
      </c>
      <c r="S196" s="355">
        <f t="shared" si="65"/>
        <v>3071</v>
      </c>
      <c r="T196" s="356">
        <f t="shared" si="65"/>
        <v>1.3</v>
      </c>
      <c r="U196" s="355">
        <f t="shared" si="65"/>
        <v>1251</v>
      </c>
      <c r="V196" s="356">
        <f t="shared" si="65"/>
        <v>0.39999999999999991</v>
      </c>
      <c r="W196" s="355">
        <f t="shared" si="65"/>
        <v>4803</v>
      </c>
      <c r="X196" s="356">
        <f t="shared" si="65"/>
        <v>1.2999999999999998</v>
      </c>
      <c r="Y196" s="355">
        <f t="shared" si="65"/>
        <v>2251</v>
      </c>
      <c r="Z196" s="356">
        <f t="shared" si="65"/>
        <v>0.89999999999999991</v>
      </c>
    </row>
    <row r="197" spans="1:26" x14ac:dyDescent="0.2">
      <c r="A197" s="699"/>
      <c r="B197" s="362" t="s">
        <v>378</v>
      </c>
      <c r="C197" s="355"/>
      <c r="D197" s="356"/>
      <c r="E197" s="355"/>
      <c r="F197" s="356"/>
      <c r="G197" s="355">
        <f t="shared" ref="G197:Z197" si="66">G$11-G186</f>
        <v>0</v>
      </c>
      <c r="H197" s="356">
        <f t="shared" si="66"/>
        <v>0</v>
      </c>
      <c r="I197" s="355">
        <f t="shared" si="66"/>
        <v>0</v>
      </c>
      <c r="J197" s="356">
        <f t="shared" si="66"/>
        <v>0</v>
      </c>
      <c r="K197" s="355">
        <f t="shared" si="66"/>
        <v>0</v>
      </c>
      <c r="L197" s="356">
        <f t="shared" si="66"/>
        <v>0</v>
      </c>
      <c r="M197" s="355">
        <f t="shared" si="66"/>
        <v>0</v>
      </c>
      <c r="N197" s="356">
        <f t="shared" si="66"/>
        <v>0</v>
      </c>
      <c r="O197" s="355">
        <f t="shared" si="66"/>
        <v>0</v>
      </c>
      <c r="P197" s="356">
        <f t="shared" si="66"/>
        <v>0</v>
      </c>
      <c r="Q197" s="355">
        <f t="shared" si="66"/>
        <v>0</v>
      </c>
      <c r="R197" s="356">
        <f t="shared" si="66"/>
        <v>0</v>
      </c>
      <c r="S197" s="355">
        <f t="shared" si="66"/>
        <v>0</v>
      </c>
      <c r="T197" s="356">
        <f t="shared" si="66"/>
        <v>0</v>
      </c>
      <c r="U197" s="355">
        <f t="shared" si="66"/>
        <v>0</v>
      </c>
      <c r="V197" s="356">
        <f t="shared" si="66"/>
        <v>0</v>
      </c>
      <c r="W197" s="355">
        <f t="shared" si="66"/>
        <v>0</v>
      </c>
      <c r="X197" s="356">
        <f t="shared" si="66"/>
        <v>0</v>
      </c>
      <c r="Y197" s="355">
        <f t="shared" si="66"/>
        <v>0</v>
      </c>
      <c r="Z197" s="356">
        <f t="shared" si="66"/>
        <v>0</v>
      </c>
    </row>
    <row r="198" spans="1:26" x14ac:dyDescent="0.2">
      <c r="A198" s="699"/>
      <c r="B198" s="362" t="s">
        <v>379</v>
      </c>
      <c r="C198" s="355"/>
      <c r="D198" s="356"/>
      <c r="E198" s="355"/>
      <c r="F198" s="356"/>
      <c r="G198" s="355">
        <f t="shared" ref="G198:Z198" si="67">G$12-G187</f>
        <v>0</v>
      </c>
      <c r="H198" s="356">
        <f t="shared" si="67"/>
        <v>0</v>
      </c>
      <c r="I198" s="355">
        <f t="shared" si="67"/>
        <v>0</v>
      </c>
      <c r="J198" s="356">
        <f t="shared" si="67"/>
        <v>0</v>
      </c>
      <c r="K198" s="355">
        <f t="shared" si="67"/>
        <v>0</v>
      </c>
      <c r="L198" s="356">
        <f t="shared" si="67"/>
        <v>0</v>
      </c>
      <c r="M198" s="355">
        <f t="shared" si="67"/>
        <v>0</v>
      </c>
      <c r="N198" s="356">
        <f t="shared" si="67"/>
        <v>0</v>
      </c>
      <c r="O198" s="355">
        <f t="shared" si="67"/>
        <v>0</v>
      </c>
      <c r="P198" s="356">
        <f t="shared" si="67"/>
        <v>0</v>
      </c>
      <c r="Q198" s="355">
        <f t="shared" si="67"/>
        <v>0</v>
      </c>
      <c r="R198" s="356">
        <f t="shared" si="67"/>
        <v>0</v>
      </c>
      <c r="S198" s="355">
        <f t="shared" si="67"/>
        <v>0</v>
      </c>
      <c r="T198" s="356">
        <f t="shared" si="67"/>
        <v>0</v>
      </c>
      <c r="U198" s="355">
        <f t="shared" si="67"/>
        <v>0</v>
      </c>
      <c r="V198" s="356">
        <f t="shared" si="67"/>
        <v>0</v>
      </c>
      <c r="W198" s="355">
        <f t="shared" si="67"/>
        <v>0</v>
      </c>
      <c r="X198" s="356">
        <f t="shared" si="67"/>
        <v>0</v>
      </c>
      <c r="Y198" s="355">
        <f t="shared" si="67"/>
        <v>0</v>
      </c>
      <c r="Z198" s="356">
        <f t="shared" si="67"/>
        <v>0</v>
      </c>
    </row>
    <row r="199" spans="1:26" x14ac:dyDescent="0.2">
      <c r="A199" s="699"/>
      <c r="B199" s="362" t="s">
        <v>380</v>
      </c>
      <c r="C199" s="355"/>
      <c r="D199" s="356"/>
      <c r="E199" s="355"/>
      <c r="F199" s="356"/>
      <c r="G199" s="355">
        <f t="shared" ref="G199:Z199" si="68">G$13-G188</f>
        <v>0</v>
      </c>
      <c r="H199" s="356">
        <f t="shared" si="68"/>
        <v>0</v>
      </c>
      <c r="I199" s="355">
        <f t="shared" si="68"/>
        <v>0</v>
      </c>
      <c r="J199" s="356">
        <f t="shared" si="68"/>
        <v>0</v>
      </c>
      <c r="K199" s="355">
        <f t="shared" si="68"/>
        <v>0</v>
      </c>
      <c r="L199" s="356">
        <f t="shared" si="68"/>
        <v>0</v>
      </c>
      <c r="M199" s="355">
        <f t="shared" si="68"/>
        <v>0</v>
      </c>
      <c r="N199" s="356">
        <f t="shared" si="68"/>
        <v>0</v>
      </c>
      <c r="O199" s="355">
        <f t="shared" si="68"/>
        <v>0</v>
      </c>
      <c r="P199" s="356">
        <f t="shared" si="68"/>
        <v>0</v>
      </c>
      <c r="Q199" s="355">
        <f t="shared" si="68"/>
        <v>0</v>
      </c>
      <c r="R199" s="356">
        <f t="shared" si="68"/>
        <v>0</v>
      </c>
      <c r="S199" s="355">
        <f t="shared" si="68"/>
        <v>0</v>
      </c>
      <c r="T199" s="356">
        <f t="shared" si="68"/>
        <v>0</v>
      </c>
      <c r="U199" s="355">
        <f t="shared" si="68"/>
        <v>0</v>
      </c>
      <c r="V199" s="356">
        <f t="shared" si="68"/>
        <v>0</v>
      </c>
      <c r="W199" s="355">
        <f t="shared" si="68"/>
        <v>0</v>
      </c>
      <c r="X199" s="356">
        <f t="shared" si="68"/>
        <v>0</v>
      </c>
      <c r="Y199" s="355">
        <f t="shared" si="68"/>
        <v>0</v>
      </c>
      <c r="Z199" s="356">
        <f t="shared" si="68"/>
        <v>0</v>
      </c>
    </row>
    <row r="200" spans="1:26" x14ac:dyDescent="0.2">
      <c r="A200" s="699"/>
      <c r="B200" s="362" t="s">
        <v>381</v>
      </c>
      <c r="C200" s="355"/>
      <c r="D200" s="356"/>
      <c r="E200" s="355"/>
      <c r="F200" s="356"/>
      <c r="G200" s="355">
        <f t="shared" ref="G200:Z200" si="69">G$14-G189</f>
        <v>0</v>
      </c>
      <c r="H200" s="356">
        <f t="shared" si="69"/>
        <v>0</v>
      </c>
      <c r="I200" s="355">
        <f t="shared" si="69"/>
        <v>13793</v>
      </c>
      <c r="J200" s="356">
        <f t="shared" si="69"/>
        <v>3.8000000000000003</v>
      </c>
      <c r="K200" s="355">
        <f t="shared" si="69"/>
        <v>0</v>
      </c>
      <c r="L200" s="356">
        <f t="shared" si="69"/>
        <v>0</v>
      </c>
      <c r="M200" s="355">
        <f t="shared" si="69"/>
        <v>19460</v>
      </c>
      <c r="N200" s="356">
        <f t="shared" si="69"/>
        <v>5.4</v>
      </c>
      <c r="O200" s="355">
        <f t="shared" si="69"/>
        <v>36146</v>
      </c>
      <c r="P200" s="356">
        <f t="shared" si="69"/>
        <v>10.1</v>
      </c>
      <c r="Q200" s="355">
        <f t="shared" si="69"/>
        <v>0</v>
      </c>
      <c r="R200" s="356">
        <f t="shared" si="69"/>
        <v>0</v>
      </c>
      <c r="S200" s="355">
        <f t="shared" si="69"/>
        <v>17539</v>
      </c>
      <c r="T200" s="356">
        <f t="shared" si="69"/>
        <v>7.4</v>
      </c>
      <c r="U200" s="355">
        <f t="shared" si="69"/>
        <v>0</v>
      </c>
      <c r="V200" s="356">
        <f t="shared" si="69"/>
        <v>0</v>
      </c>
      <c r="W200" s="355">
        <f t="shared" si="69"/>
        <v>37367</v>
      </c>
      <c r="X200" s="356">
        <f t="shared" si="69"/>
        <v>10.4</v>
      </c>
      <c r="Y200" s="355">
        <f t="shared" si="69"/>
        <v>12824</v>
      </c>
      <c r="Z200" s="356">
        <f t="shared" si="69"/>
        <v>5.4</v>
      </c>
    </row>
    <row r="201" spans="1:26" s="20" customFormat="1" x14ac:dyDescent="0.2">
      <c r="A201" s="699"/>
      <c r="B201" s="363" t="s">
        <v>382</v>
      </c>
      <c r="C201" s="357"/>
      <c r="D201" s="358"/>
      <c r="E201" s="357"/>
      <c r="F201" s="358"/>
      <c r="G201" s="357">
        <f t="shared" ref="G201:Z201" si="70">G$15-G190</f>
        <v>36762</v>
      </c>
      <c r="H201" s="358">
        <f t="shared" si="70"/>
        <v>122.5</v>
      </c>
      <c r="I201" s="357">
        <f t="shared" si="70"/>
        <v>423671</v>
      </c>
      <c r="J201" s="358">
        <f t="shared" si="70"/>
        <v>117.69999999999999</v>
      </c>
      <c r="K201" s="357">
        <f t="shared" si="70"/>
        <v>345312</v>
      </c>
      <c r="L201" s="358">
        <f t="shared" si="70"/>
        <v>143.89999999999998</v>
      </c>
      <c r="M201" s="357">
        <f t="shared" si="70"/>
        <v>586588</v>
      </c>
      <c r="N201" s="358">
        <f t="shared" si="70"/>
        <v>162.89999999999998</v>
      </c>
      <c r="O201" s="357">
        <f t="shared" si="70"/>
        <v>1309497</v>
      </c>
      <c r="P201" s="358">
        <f t="shared" si="70"/>
        <v>363.79999999999995</v>
      </c>
      <c r="Q201" s="357">
        <f t="shared" si="70"/>
        <v>732145</v>
      </c>
      <c r="R201" s="358">
        <f t="shared" si="70"/>
        <v>305.10000000000002</v>
      </c>
      <c r="S201" s="357">
        <f t="shared" si="70"/>
        <v>557786</v>
      </c>
      <c r="T201" s="358">
        <f t="shared" si="70"/>
        <v>232.39999999999998</v>
      </c>
      <c r="U201" s="357">
        <f t="shared" si="70"/>
        <v>381470</v>
      </c>
      <c r="V201" s="358">
        <f t="shared" si="70"/>
        <v>119.19999999999999</v>
      </c>
      <c r="W201" s="357">
        <f t="shared" si="70"/>
        <v>1074947</v>
      </c>
      <c r="X201" s="358">
        <f t="shared" si="70"/>
        <v>298.59999999999997</v>
      </c>
      <c r="Y201" s="357">
        <f t="shared" si="70"/>
        <v>351436</v>
      </c>
      <c r="Z201" s="358">
        <f t="shared" si="70"/>
        <v>146.40000000000003</v>
      </c>
    </row>
    <row r="202" spans="1:26" s="216" customFormat="1" x14ac:dyDescent="0.2">
      <c r="A202" s="699"/>
      <c r="B202" s="364" t="s">
        <v>491</v>
      </c>
      <c r="C202" s="353"/>
      <c r="D202" s="354"/>
      <c r="E202" s="380"/>
      <c r="F202" s="354"/>
      <c r="G202" s="289" t="s">
        <v>372</v>
      </c>
      <c r="H202" s="291" t="s">
        <v>397</v>
      </c>
      <c r="I202" s="289" t="s">
        <v>372</v>
      </c>
      <c r="J202" s="291" t="s">
        <v>397</v>
      </c>
      <c r="K202" s="289" t="s">
        <v>372</v>
      </c>
      <c r="L202" s="291" t="s">
        <v>397</v>
      </c>
      <c r="M202" s="289" t="s">
        <v>372</v>
      </c>
      <c r="N202" s="291" t="s">
        <v>397</v>
      </c>
      <c r="O202" s="289" t="s">
        <v>372</v>
      </c>
      <c r="P202" s="291" t="s">
        <v>397</v>
      </c>
      <c r="Q202" s="289" t="s">
        <v>372</v>
      </c>
      <c r="R202" s="291" t="s">
        <v>397</v>
      </c>
      <c r="S202" s="289" t="s">
        <v>372</v>
      </c>
      <c r="T202" s="291" t="s">
        <v>397</v>
      </c>
      <c r="U202" s="289" t="s">
        <v>372</v>
      </c>
      <c r="V202" s="291" t="s">
        <v>397</v>
      </c>
      <c r="W202" s="289" t="s">
        <v>372</v>
      </c>
      <c r="X202" s="291" t="s">
        <v>397</v>
      </c>
      <c r="Y202" s="289" t="s">
        <v>372</v>
      </c>
      <c r="Z202" s="291" t="s">
        <v>397</v>
      </c>
    </row>
    <row r="203" spans="1:26" x14ac:dyDescent="0.2">
      <c r="A203" s="699"/>
      <c r="B203" s="205" t="s">
        <v>373</v>
      </c>
      <c r="C203" s="355"/>
      <c r="D203" s="356"/>
      <c r="E203" s="355"/>
      <c r="F203" s="356"/>
      <c r="G203" s="230">
        <f>G192-G139-G164</f>
        <v>6044</v>
      </c>
      <c r="H203" s="293">
        <f t="shared" ref="G203:Z212" si="71">H192-H139-H164</f>
        <v>20.099999999999966</v>
      </c>
      <c r="I203" s="230">
        <f t="shared" si="71"/>
        <v>84535</v>
      </c>
      <c r="J203" s="293">
        <f t="shared" si="71"/>
        <v>23.5</v>
      </c>
      <c r="K203" s="230">
        <f t="shared" si="71"/>
        <v>53583</v>
      </c>
      <c r="L203" s="293">
        <f t="shared" si="71"/>
        <v>22.300000000000011</v>
      </c>
      <c r="M203" s="230">
        <f t="shared" si="71"/>
        <v>136887</v>
      </c>
      <c r="N203" s="293">
        <f t="shared" si="71"/>
        <v>38.099999999999994</v>
      </c>
      <c r="O203" s="230">
        <f t="shared" si="71"/>
        <v>304824</v>
      </c>
      <c r="P203" s="293">
        <f t="shared" si="71"/>
        <v>84.600000000000023</v>
      </c>
      <c r="Q203" s="230">
        <f t="shared" si="71"/>
        <v>108565</v>
      </c>
      <c r="R203" s="293">
        <f t="shared" si="71"/>
        <v>45.199999999999989</v>
      </c>
      <c r="S203" s="230">
        <f t="shared" si="71"/>
        <v>147127</v>
      </c>
      <c r="T203" s="293">
        <f t="shared" si="71"/>
        <v>61.300000000000011</v>
      </c>
      <c r="U203" s="230">
        <f t="shared" si="71"/>
        <v>22058</v>
      </c>
      <c r="V203" s="293">
        <f t="shared" si="71"/>
        <v>6.9000000000000341</v>
      </c>
      <c r="W203" s="230">
        <f t="shared" si="71"/>
        <v>265008</v>
      </c>
      <c r="X203" s="293">
        <f t="shared" si="71"/>
        <v>73.700000000000017</v>
      </c>
      <c r="Y203" s="230">
        <f t="shared" si="71"/>
        <v>91487</v>
      </c>
      <c r="Z203" s="293">
        <f t="shared" si="71"/>
        <v>38.099999999999966</v>
      </c>
    </row>
    <row r="204" spans="1:26" x14ac:dyDescent="0.2">
      <c r="A204" s="699"/>
      <c r="B204" s="205" t="s">
        <v>374</v>
      </c>
      <c r="C204" s="355"/>
      <c r="D204" s="356"/>
      <c r="E204" s="355"/>
      <c r="F204" s="356"/>
      <c r="G204" s="230">
        <f t="shared" si="71"/>
        <v>2693</v>
      </c>
      <c r="H204" s="293">
        <f t="shared" si="71"/>
        <v>9</v>
      </c>
      <c r="I204" s="230">
        <f t="shared" si="71"/>
        <v>25979</v>
      </c>
      <c r="J204" s="293">
        <f t="shared" si="71"/>
        <v>7.3000000000000043</v>
      </c>
      <c r="K204" s="230">
        <f t="shared" si="71"/>
        <v>23212</v>
      </c>
      <c r="L204" s="293">
        <f t="shared" si="71"/>
        <v>9.7000000000000028</v>
      </c>
      <c r="M204" s="230">
        <f t="shared" si="71"/>
        <v>34364</v>
      </c>
      <c r="N204" s="293">
        <f t="shared" si="71"/>
        <v>9.4999999999999858</v>
      </c>
      <c r="O204" s="230">
        <f t="shared" si="71"/>
        <v>77269</v>
      </c>
      <c r="P204" s="293">
        <f t="shared" si="71"/>
        <v>21.5</v>
      </c>
      <c r="Q204" s="230">
        <f t="shared" si="71"/>
        <v>55140</v>
      </c>
      <c r="R204" s="293">
        <f t="shared" si="71"/>
        <v>22.899999999999977</v>
      </c>
      <c r="S204" s="230">
        <f t="shared" si="71"/>
        <v>29791</v>
      </c>
      <c r="T204" s="293">
        <f t="shared" si="71"/>
        <v>12.5</v>
      </c>
      <c r="U204" s="230">
        <f t="shared" si="71"/>
        <v>49414</v>
      </c>
      <c r="V204" s="293">
        <f t="shared" si="71"/>
        <v>15.5</v>
      </c>
      <c r="W204" s="230">
        <f t="shared" si="71"/>
        <v>55976</v>
      </c>
      <c r="X204" s="293">
        <f t="shared" si="71"/>
        <v>15.5</v>
      </c>
      <c r="Y204" s="230">
        <f t="shared" si="71"/>
        <v>19371</v>
      </c>
      <c r="Z204" s="293">
        <f t="shared" si="71"/>
        <v>8.1000000000000085</v>
      </c>
    </row>
    <row r="205" spans="1:26" x14ac:dyDescent="0.2">
      <c r="A205" s="699"/>
      <c r="B205" s="205" t="s">
        <v>375</v>
      </c>
      <c r="C205" s="355"/>
      <c r="D205" s="356"/>
      <c r="E205" s="355"/>
      <c r="F205" s="356"/>
      <c r="G205" s="230">
        <f t="shared" si="71"/>
        <v>0</v>
      </c>
      <c r="H205" s="293">
        <f t="shared" si="71"/>
        <v>0</v>
      </c>
      <c r="I205" s="230">
        <f t="shared" si="71"/>
        <v>0</v>
      </c>
      <c r="J205" s="293">
        <f t="shared" si="71"/>
        <v>0</v>
      </c>
      <c r="K205" s="230">
        <f t="shared" si="71"/>
        <v>0</v>
      </c>
      <c r="L205" s="293">
        <f t="shared" si="71"/>
        <v>0</v>
      </c>
      <c r="M205" s="230">
        <f t="shared" si="71"/>
        <v>0</v>
      </c>
      <c r="N205" s="293">
        <f t="shared" si="71"/>
        <v>0</v>
      </c>
      <c r="O205" s="230">
        <f t="shared" si="71"/>
        <v>0</v>
      </c>
      <c r="P205" s="293">
        <f t="shared" si="71"/>
        <v>0</v>
      </c>
      <c r="Q205" s="230">
        <f t="shared" si="71"/>
        <v>0</v>
      </c>
      <c r="R205" s="293">
        <f t="shared" si="71"/>
        <v>0</v>
      </c>
      <c r="S205" s="230">
        <f t="shared" si="71"/>
        <v>0</v>
      </c>
      <c r="T205" s="293">
        <f t="shared" si="71"/>
        <v>0</v>
      </c>
      <c r="U205" s="230">
        <f t="shared" si="71"/>
        <v>0</v>
      </c>
      <c r="V205" s="293">
        <f t="shared" si="71"/>
        <v>0</v>
      </c>
      <c r="W205" s="230">
        <f t="shared" si="71"/>
        <v>0</v>
      </c>
      <c r="X205" s="293">
        <f t="shared" si="71"/>
        <v>0</v>
      </c>
      <c r="Y205" s="230">
        <f t="shared" si="71"/>
        <v>0</v>
      </c>
      <c r="Z205" s="293">
        <f t="shared" si="71"/>
        <v>0</v>
      </c>
    </row>
    <row r="206" spans="1:26" x14ac:dyDescent="0.2">
      <c r="A206" s="699"/>
      <c r="B206" s="205" t="s">
        <v>376</v>
      </c>
      <c r="C206" s="355"/>
      <c r="D206" s="356"/>
      <c r="E206" s="355"/>
      <c r="F206" s="356"/>
      <c r="G206" s="230">
        <f t="shared" si="71"/>
        <v>6107</v>
      </c>
      <c r="H206" s="293">
        <f t="shared" si="71"/>
        <v>20.400000000000002</v>
      </c>
      <c r="I206" s="230">
        <f t="shared" si="71"/>
        <v>62640</v>
      </c>
      <c r="J206" s="293">
        <f t="shared" si="71"/>
        <v>17.299999999999997</v>
      </c>
      <c r="K206" s="230">
        <f t="shared" si="71"/>
        <v>53665</v>
      </c>
      <c r="L206" s="293">
        <f t="shared" si="71"/>
        <v>22.4</v>
      </c>
      <c r="M206" s="230">
        <f t="shared" si="71"/>
        <v>87729</v>
      </c>
      <c r="N206" s="293">
        <f t="shared" si="71"/>
        <v>24.4</v>
      </c>
      <c r="O206" s="230">
        <f t="shared" si="71"/>
        <v>188269</v>
      </c>
      <c r="P206" s="293">
        <f t="shared" si="71"/>
        <v>52.3</v>
      </c>
      <c r="Q206" s="230">
        <f t="shared" si="71"/>
        <v>117789</v>
      </c>
      <c r="R206" s="293">
        <f t="shared" si="71"/>
        <v>49.099999999999994</v>
      </c>
      <c r="S206" s="230">
        <f t="shared" si="71"/>
        <v>83187</v>
      </c>
      <c r="T206" s="293">
        <f t="shared" si="71"/>
        <v>34.6</v>
      </c>
      <c r="U206" s="230">
        <f t="shared" si="71"/>
        <v>61917</v>
      </c>
      <c r="V206" s="293">
        <f t="shared" si="71"/>
        <v>19.399999999999999</v>
      </c>
      <c r="W206" s="230">
        <f t="shared" si="71"/>
        <v>159094</v>
      </c>
      <c r="X206" s="293">
        <f t="shared" si="71"/>
        <v>44.2</v>
      </c>
      <c r="Y206" s="230">
        <f t="shared" si="71"/>
        <v>52618</v>
      </c>
      <c r="Z206" s="293">
        <f t="shared" si="71"/>
        <v>21.9</v>
      </c>
    </row>
    <row r="207" spans="1:26" x14ac:dyDescent="0.2">
      <c r="A207" s="699"/>
      <c r="B207" s="205" t="s">
        <v>377</v>
      </c>
      <c r="C207" s="355"/>
      <c r="D207" s="356"/>
      <c r="E207" s="355"/>
      <c r="F207" s="356"/>
      <c r="G207" s="230">
        <f t="shared" si="71"/>
        <v>22</v>
      </c>
      <c r="H207" s="293">
        <f t="shared" si="71"/>
        <v>0</v>
      </c>
      <c r="I207" s="230">
        <f t="shared" si="71"/>
        <v>1182</v>
      </c>
      <c r="J207" s="293">
        <f t="shared" si="71"/>
        <v>0.40000000000000013</v>
      </c>
      <c r="K207" s="230">
        <f t="shared" si="71"/>
        <v>227</v>
      </c>
      <c r="L207" s="293">
        <f t="shared" si="71"/>
        <v>0.10000000000000009</v>
      </c>
      <c r="M207" s="230">
        <f t="shared" si="71"/>
        <v>1546</v>
      </c>
      <c r="N207" s="293">
        <f t="shared" si="71"/>
        <v>0.39999999999999991</v>
      </c>
      <c r="O207" s="230">
        <f t="shared" si="71"/>
        <v>3270</v>
      </c>
      <c r="P207" s="293">
        <f t="shared" si="71"/>
        <v>0.89999999999999991</v>
      </c>
      <c r="Q207" s="230">
        <f t="shared" si="71"/>
        <v>342</v>
      </c>
      <c r="R207" s="293">
        <f t="shared" si="71"/>
        <v>0.20000000000000007</v>
      </c>
      <c r="S207" s="230">
        <f t="shared" si="71"/>
        <v>2235</v>
      </c>
      <c r="T207" s="293">
        <f t="shared" si="71"/>
        <v>0.90000000000000013</v>
      </c>
      <c r="U207" s="230">
        <f t="shared" si="71"/>
        <v>471</v>
      </c>
      <c r="V207" s="293">
        <f t="shared" si="71"/>
        <v>9.9999999999999867E-2</v>
      </c>
      <c r="W207" s="230">
        <f t="shared" si="71"/>
        <v>2967</v>
      </c>
      <c r="X207" s="293">
        <f t="shared" si="71"/>
        <v>0.79999999999999982</v>
      </c>
      <c r="Y207" s="230">
        <f t="shared" si="71"/>
        <v>1366</v>
      </c>
      <c r="Z207" s="293">
        <f t="shared" si="71"/>
        <v>0.5</v>
      </c>
    </row>
    <row r="208" spans="1:26" x14ac:dyDescent="0.2">
      <c r="A208" s="699"/>
      <c r="B208" s="205" t="s">
        <v>378</v>
      </c>
      <c r="C208" s="355"/>
      <c r="D208" s="356"/>
      <c r="E208" s="355"/>
      <c r="F208" s="356"/>
      <c r="G208" s="230">
        <f t="shared" si="71"/>
        <v>0</v>
      </c>
      <c r="H208" s="293">
        <f t="shared" si="71"/>
        <v>0</v>
      </c>
      <c r="I208" s="230">
        <f t="shared" si="71"/>
        <v>0</v>
      </c>
      <c r="J208" s="293">
        <f t="shared" si="71"/>
        <v>0</v>
      </c>
      <c r="K208" s="230">
        <f t="shared" si="71"/>
        <v>0</v>
      </c>
      <c r="L208" s="293">
        <f t="shared" si="71"/>
        <v>0</v>
      </c>
      <c r="M208" s="230">
        <f t="shared" si="71"/>
        <v>0</v>
      </c>
      <c r="N208" s="293">
        <f t="shared" si="71"/>
        <v>0</v>
      </c>
      <c r="O208" s="230">
        <f t="shared" si="71"/>
        <v>0</v>
      </c>
      <c r="P208" s="293">
        <f t="shared" si="71"/>
        <v>0</v>
      </c>
      <c r="Q208" s="230">
        <f t="shared" si="71"/>
        <v>0</v>
      </c>
      <c r="R208" s="293">
        <f t="shared" si="71"/>
        <v>0</v>
      </c>
      <c r="S208" s="230">
        <f t="shared" si="71"/>
        <v>0</v>
      </c>
      <c r="T208" s="293">
        <f t="shared" si="71"/>
        <v>0</v>
      </c>
      <c r="U208" s="230">
        <f t="shared" si="71"/>
        <v>0</v>
      </c>
      <c r="V208" s="293">
        <f t="shared" si="71"/>
        <v>0</v>
      </c>
      <c r="W208" s="230">
        <f t="shared" si="71"/>
        <v>0</v>
      </c>
      <c r="X208" s="293">
        <f t="shared" si="71"/>
        <v>0</v>
      </c>
      <c r="Y208" s="230">
        <f t="shared" si="71"/>
        <v>0</v>
      </c>
      <c r="Z208" s="293">
        <f t="shared" si="71"/>
        <v>0</v>
      </c>
    </row>
    <row r="209" spans="1:26" x14ac:dyDescent="0.2">
      <c r="A209" s="699"/>
      <c r="B209" s="205" t="s">
        <v>379</v>
      </c>
      <c r="C209" s="355"/>
      <c r="D209" s="356"/>
      <c r="E209" s="355"/>
      <c r="F209" s="356"/>
      <c r="G209" s="230">
        <f t="shared" si="71"/>
        <v>0</v>
      </c>
      <c r="H209" s="293">
        <f t="shared" si="71"/>
        <v>0</v>
      </c>
      <c r="I209" s="230">
        <f t="shared" si="71"/>
        <v>0</v>
      </c>
      <c r="J209" s="293">
        <f t="shared" si="71"/>
        <v>0</v>
      </c>
      <c r="K209" s="230">
        <f t="shared" si="71"/>
        <v>0</v>
      </c>
      <c r="L209" s="293">
        <f t="shared" si="71"/>
        <v>0</v>
      </c>
      <c r="M209" s="230">
        <f t="shared" si="71"/>
        <v>0</v>
      </c>
      <c r="N209" s="293">
        <f t="shared" si="71"/>
        <v>0</v>
      </c>
      <c r="O209" s="230">
        <f t="shared" si="71"/>
        <v>0</v>
      </c>
      <c r="P209" s="293">
        <f t="shared" si="71"/>
        <v>0</v>
      </c>
      <c r="Q209" s="230">
        <f t="shared" si="71"/>
        <v>0</v>
      </c>
      <c r="R209" s="293">
        <f t="shared" si="71"/>
        <v>0</v>
      </c>
      <c r="S209" s="230">
        <f t="shared" si="71"/>
        <v>0</v>
      </c>
      <c r="T209" s="293">
        <f t="shared" si="71"/>
        <v>0</v>
      </c>
      <c r="U209" s="230">
        <f t="shared" si="71"/>
        <v>0</v>
      </c>
      <c r="V209" s="293">
        <f t="shared" si="71"/>
        <v>0</v>
      </c>
      <c r="W209" s="230">
        <f t="shared" si="71"/>
        <v>0</v>
      </c>
      <c r="X209" s="293">
        <f t="shared" si="71"/>
        <v>0</v>
      </c>
      <c r="Y209" s="230">
        <f t="shared" si="71"/>
        <v>0</v>
      </c>
      <c r="Z209" s="293">
        <f t="shared" si="71"/>
        <v>0</v>
      </c>
    </row>
    <row r="210" spans="1:26" x14ac:dyDescent="0.2">
      <c r="A210" s="699"/>
      <c r="B210" s="205" t="s">
        <v>380</v>
      </c>
      <c r="C210" s="355"/>
      <c r="D210" s="356"/>
      <c r="E210" s="355"/>
      <c r="F210" s="356"/>
      <c r="G210" s="230">
        <f t="shared" si="71"/>
        <v>0</v>
      </c>
      <c r="H210" s="293">
        <f t="shared" si="71"/>
        <v>0</v>
      </c>
      <c r="I210" s="230">
        <f t="shared" si="71"/>
        <v>0</v>
      </c>
      <c r="J210" s="293">
        <f t="shared" si="71"/>
        <v>0</v>
      </c>
      <c r="K210" s="230">
        <f t="shared" si="71"/>
        <v>0</v>
      </c>
      <c r="L210" s="293">
        <f t="shared" si="71"/>
        <v>0</v>
      </c>
      <c r="M210" s="230">
        <f t="shared" si="71"/>
        <v>0</v>
      </c>
      <c r="N210" s="293">
        <f t="shared" si="71"/>
        <v>0</v>
      </c>
      <c r="O210" s="230">
        <f t="shared" si="71"/>
        <v>0</v>
      </c>
      <c r="P210" s="293">
        <f t="shared" si="71"/>
        <v>0</v>
      </c>
      <c r="Q210" s="230">
        <f t="shared" si="71"/>
        <v>0</v>
      </c>
      <c r="R210" s="293">
        <f t="shared" si="71"/>
        <v>0</v>
      </c>
      <c r="S210" s="230">
        <f t="shared" si="71"/>
        <v>0</v>
      </c>
      <c r="T210" s="293">
        <f t="shared" si="71"/>
        <v>0</v>
      </c>
      <c r="U210" s="230">
        <f t="shared" si="71"/>
        <v>0</v>
      </c>
      <c r="V210" s="293">
        <f t="shared" si="71"/>
        <v>0</v>
      </c>
      <c r="W210" s="230">
        <f t="shared" si="71"/>
        <v>0</v>
      </c>
      <c r="X210" s="293">
        <f t="shared" si="71"/>
        <v>0</v>
      </c>
      <c r="Y210" s="230">
        <f t="shared" si="71"/>
        <v>0</v>
      </c>
      <c r="Z210" s="293">
        <f t="shared" si="71"/>
        <v>0</v>
      </c>
    </row>
    <row r="211" spans="1:26" x14ac:dyDescent="0.2">
      <c r="A211" s="699"/>
      <c r="B211" s="205" t="s">
        <v>381</v>
      </c>
      <c r="C211" s="355"/>
      <c r="D211" s="356"/>
      <c r="E211" s="355"/>
      <c r="F211" s="356"/>
      <c r="G211" s="230">
        <f t="shared" si="71"/>
        <v>0</v>
      </c>
      <c r="H211" s="293">
        <f t="shared" si="71"/>
        <v>0</v>
      </c>
      <c r="I211" s="230">
        <f t="shared" si="71"/>
        <v>10870</v>
      </c>
      <c r="J211" s="293">
        <f t="shared" si="71"/>
        <v>3.0000000000000004</v>
      </c>
      <c r="K211" s="230">
        <f t="shared" si="71"/>
        <v>0</v>
      </c>
      <c r="L211" s="293">
        <f t="shared" si="71"/>
        <v>0</v>
      </c>
      <c r="M211" s="230">
        <f t="shared" si="71"/>
        <v>15713</v>
      </c>
      <c r="N211" s="293">
        <f t="shared" si="71"/>
        <v>4.3000000000000007</v>
      </c>
      <c r="O211" s="230">
        <f t="shared" si="71"/>
        <v>28619</v>
      </c>
      <c r="P211" s="293">
        <f t="shared" si="71"/>
        <v>7.9999999999999982</v>
      </c>
      <c r="Q211" s="230">
        <f t="shared" si="71"/>
        <v>0</v>
      </c>
      <c r="R211" s="293">
        <f t="shared" si="71"/>
        <v>0</v>
      </c>
      <c r="S211" s="230">
        <f t="shared" si="71"/>
        <v>14188</v>
      </c>
      <c r="T211" s="293">
        <f t="shared" si="71"/>
        <v>6</v>
      </c>
      <c r="U211" s="230">
        <f t="shared" si="71"/>
        <v>0</v>
      </c>
      <c r="V211" s="293">
        <f t="shared" si="71"/>
        <v>0</v>
      </c>
      <c r="W211" s="230">
        <f t="shared" si="71"/>
        <v>29898</v>
      </c>
      <c r="X211" s="293">
        <f t="shared" si="71"/>
        <v>8.2999999999999989</v>
      </c>
      <c r="Y211" s="230">
        <f t="shared" si="71"/>
        <v>10494</v>
      </c>
      <c r="Z211" s="293">
        <f t="shared" si="71"/>
        <v>4.4000000000000004</v>
      </c>
    </row>
    <row r="212" spans="1:26" s="20" customFormat="1" x14ac:dyDescent="0.2">
      <c r="A212" s="700"/>
      <c r="B212" s="284" t="s">
        <v>382</v>
      </c>
      <c r="C212" s="357"/>
      <c r="D212" s="358"/>
      <c r="E212" s="357"/>
      <c r="F212" s="358"/>
      <c r="G212" s="275">
        <f t="shared" si="71"/>
        <v>14865</v>
      </c>
      <c r="H212" s="294">
        <f t="shared" si="71"/>
        <v>49.5</v>
      </c>
      <c r="I212" s="275">
        <f t="shared" si="71"/>
        <v>185207</v>
      </c>
      <c r="J212" s="294">
        <f t="shared" si="71"/>
        <v>51.5</v>
      </c>
      <c r="K212" s="275">
        <f t="shared" si="71"/>
        <v>130690</v>
      </c>
      <c r="L212" s="294">
        <f t="shared" si="71"/>
        <v>54.600000000000023</v>
      </c>
      <c r="M212" s="275">
        <f t="shared" si="71"/>
        <v>276239</v>
      </c>
      <c r="N212" s="294">
        <f t="shared" si="71"/>
        <v>76.699999999999989</v>
      </c>
      <c r="O212" s="275">
        <f t="shared" si="71"/>
        <v>602250</v>
      </c>
      <c r="P212" s="294">
        <f t="shared" si="71"/>
        <v>167.29999999999995</v>
      </c>
      <c r="Q212" s="275">
        <f t="shared" si="71"/>
        <v>281837</v>
      </c>
      <c r="R212" s="294">
        <f t="shared" si="71"/>
        <v>117.50000000000006</v>
      </c>
      <c r="S212" s="275">
        <f t="shared" si="71"/>
        <v>276528</v>
      </c>
      <c r="T212" s="294">
        <f t="shared" si="71"/>
        <v>115.29999999999995</v>
      </c>
      <c r="U212" s="275">
        <f t="shared" si="71"/>
        <v>133861</v>
      </c>
      <c r="V212" s="294">
        <f t="shared" si="71"/>
        <v>41.800000000000011</v>
      </c>
      <c r="W212" s="275">
        <f t="shared" si="71"/>
        <v>512942</v>
      </c>
      <c r="X212" s="294">
        <f t="shared" si="71"/>
        <v>142.40000000000003</v>
      </c>
      <c r="Y212" s="275">
        <f t="shared" si="71"/>
        <v>175336</v>
      </c>
      <c r="Z212" s="294">
        <f t="shared" si="71"/>
        <v>72.999999999999943</v>
      </c>
    </row>
    <row r="213" spans="1:26" x14ac:dyDescent="0.2">
      <c r="A213" s="201"/>
      <c r="B213" s="201"/>
      <c r="D213" s="270"/>
    </row>
    <row r="214" spans="1:26" s="202" customFormat="1" ht="13.15" customHeight="1" x14ac:dyDescent="0.2">
      <c r="A214" s="698" t="s">
        <v>575</v>
      </c>
      <c r="B214" s="269" t="s">
        <v>488</v>
      </c>
      <c r="C214" s="304" t="s">
        <v>486</v>
      </c>
      <c r="D214" s="280" t="s">
        <v>487</v>
      </c>
      <c r="E214" s="304" t="s">
        <v>486</v>
      </c>
      <c r="F214" s="280" t="s">
        <v>487</v>
      </c>
      <c r="G214" s="304" t="s">
        <v>486</v>
      </c>
      <c r="H214" s="280" t="s">
        <v>487</v>
      </c>
      <c r="I214" s="304" t="s">
        <v>486</v>
      </c>
      <c r="J214" s="280" t="s">
        <v>487</v>
      </c>
      <c r="K214" s="304" t="s">
        <v>486</v>
      </c>
      <c r="L214" s="280" t="s">
        <v>487</v>
      </c>
      <c r="M214" s="304" t="s">
        <v>486</v>
      </c>
      <c r="N214" s="280" t="s">
        <v>487</v>
      </c>
      <c r="O214" s="304" t="s">
        <v>486</v>
      </c>
      <c r="P214" s="280" t="s">
        <v>487</v>
      </c>
      <c r="Q214" s="304" t="s">
        <v>486</v>
      </c>
      <c r="R214" s="280" t="s">
        <v>487</v>
      </c>
      <c r="S214" s="304" t="s">
        <v>486</v>
      </c>
      <c r="T214" s="280" t="s">
        <v>487</v>
      </c>
      <c r="U214" s="304" t="s">
        <v>486</v>
      </c>
      <c r="V214" s="280" t="s">
        <v>487</v>
      </c>
      <c r="W214" s="304" t="s">
        <v>486</v>
      </c>
      <c r="X214" s="280" t="s">
        <v>487</v>
      </c>
      <c r="Y214" s="304" t="s">
        <v>486</v>
      </c>
      <c r="Z214" s="314" t="s">
        <v>487</v>
      </c>
    </row>
    <row r="215" spans="1:26" x14ac:dyDescent="0.2">
      <c r="A215" s="699"/>
      <c r="B215" s="243" t="s">
        <v>576</v>
      </c>
      <c r="C215" s="365">
        <f>'6 Oversikt startpunkt'!B102</f>
        <v>23</v>
      </c>
      <c r="D215" s="78">
        <f>'6 Oversikt startpunkt'!B33</f>
        <v>19</v>
      </c>
      <c r="E215" s="398">
        <f>'6 Oversikt startpunkt'!C102</f>
        <v>23</v>
      </c>
      <c r="F215" s="78">
        <f>'6 Oversikt startpunkt'!C33</f>
        <v>19</v>
      </c>
      <c r="G215" s="398">
        <f>'6 Oversikt startpunkt'!D102</f>
        <v>23</v>
      </c>
      <c r="H215" s="78">
        <f>'6 Oversikt startpunkt'!D33</f>
        <v>19</v>
      </c>
      <c r="I215" s="398">
        <f>'6 Oversikt startpunkt'!E102</f>
        <v>23</v>
      </c>
      <c r="J215" s="78">
        <f>'6 Oversikt startpunkt'!E33</f>
        <v>19</v>
      </c>
      <c r="K215" s="398">
        <f>'6 Oversikt startpunkt'!F102</f>
        <v>23</v>
      </c>
      <c r="L215" s="78">
        <f>'6 Oversikt startpunkt'!F33</f>
        <v>19</v>
      </c>
      <c r="M215" s="398">
        <f>'6 Oversikt startpunkt'!G102</f>
        <v>23</v>
      </c>
      <c r="N215" s="78">
        <f>'6 Oversikt startpunkt'!G33</f>
        <v>19</v>
      </c>
      <c r="O215" s="398">
        <f>'6 Oversikt startpunkt'!H102</f>
        <v>23</v>
      </c>
      <c r="P215" s="78">
        <f>'6 Oversikt startpunkt'!H33</f>
        <v>19</v>
      </c>
      <c r="Q215" s="398">
        <f>'6 Oversikt startpunkt'!I102</f>
        <v>23</v>
      </c>
      <c r="R215" s="78">
        <f>'6 Oversikt startpunkt'!I33</f>
        <v>19</v>
      </c>
      <c r="S215" s="398">
        <f>'6 Oversikt startpunkt'!J102</f>
        <v>23</v>
      </c>
      <c r="T215" s="78">
        <f>'6 Oversikt startpunkt'!J33</f>
        <v>19</v>
      </c>
      <c r="U215" s="398">
        <f>'6 Oversikt startpunkt'!K102</f>
        <v>21</v>
      </c>
      <c r="V215" s="78">
        <f>'6 Oversikt startpunkt'!K33</f>
        <v>17</v>
      </c>
      <c r="W215" s="398">
        <f>'6 Oversikt startpunkt'!L102</f>
        <v>23</v>
      </c>
      <c r="X215" s="78">
        <f>'6 Oversikt startpunkt'!L33</f>
        <v>19</v>
      </c>
      <c r="Y215" s="398">
        <f>'6 Oversikt startpunkt'!M102</f>
        <v>23</v>
      </c>
      <c r="Z215" s="78">
        <f>'6 Oversikt startpunkt'!M33</f>
        <v>19</v>
      </c>
    </row>
    <row r="216" spans="1:26" s="216" customFormat="1" x14ac:dyDescent="0.2">
      <c r="A216" s="699"/>
      <c r="B216" s="288" t="s">
        <v>490</v>
      </c>
      <c r="C216" s="289" t="s">
        <v>372</v>
      </c>
      <c r="D216" s="290" t="s">
        <v>397</v>
      </c>
      <c r="E216" s="289" t="s">
        <v>372</v>
      </c>
      <c r="F216" s="291" t="s">
        <v>397</v>
      </c>
      <c r="G216" s="292" t="s">
        <v>372</v>
      </c>
      <c r="H216" s="290" t="s">
        <v>397</v>
      </c>
      <c r="I216" s="289" t="s">
        <v>372</v>
      </c>
      <c r="J216" s="291" t="s">
        <v>397</v>
      </c>
      <c r="K216" s="292" t="s">
        <v>372</v>
      </c>
      <c r="L216" s="290" t="s">
        <v>397</v>
      </c>
      <c r="M216" s="289" t="s">
        <v>372</v>
      </c>
      <c r="N216" s="290" t="s">
        <v>397</v>
      </c>
      <c r="O216" s="289" t="s">
        <v>372</v>
      </c>
      <c r="P216" s="290" t="s">
        <v>397</v>
      </c>
      <c r="Q216" s="289" t="s">
        <v>372</v>
      </c>
      <c r="R216" s="290" t="s">
        <v>397</v>
      </c>
      <c r="S216" s="289" t="s">
        <v>372</v>
      </c>
      <c r="T216" s="290" t="s">
        <v>397</v>
      </c>
      <c r="U216" s="289" t="s">
        <v>372</v>
      </c>
      <c r="V216" s="290" t="s">
        <v>397</v>
      </c>
      <c r="W216" s="289" t="s">
        <v>372</v>
      </c>
      <c r="X216" s="290" t="s">
        <v>397</v>
      </c>
      <c r="Y216" s="289" t="s">
        <v>372</v>
      </c>
      <c r="Z216" s="291" t="s">
        <v>397</v>
      </c>
    </row>
    <row r="217" spans="1:26" x14ac:dyDescent="0.2">
      <c r="A217" s="699"/>
      <c r="B217" s="272" t="s">
        <v>373</v>
      </c>
      <c r="C217" s="230">
        <v>62062</v>
      </c>
      <c r="D217" s="231">
        <v>387.9</v>
      </c>
      <c r="E217" s="230">
        <v>277116</v>
      </c>
      <c r="F217" s="273">
        <v>307.89999999999998</v>
      </c>
      <c r="G217" s="285">
        <v>99368</v>
      </c>
      <c r="H217" s="231">
        <v>331.2</v>
      </c>
      <c r="I217" s="230">
        <v>586712</v>
      </c>
      <c r="J217" s="273">
        <v>163</v>
      </c>
      <c r="K217" s="285">
        <v>473637</v>
      </c>
      <c r="L217" s="231">
        <v>197.3</v>
      </c>
      <c r="M217" s="230">
        <v>650018</v>
      </c>
      <c r="N217" s="231">
        <v>180.6</v>
      </c>
      <c r="O217" s="230">
        <v>928881</v>
      </c>
      <c r="P217" s="231">
        <v>258</v>
      </c>
      <c r="Q217" s="230">
        <v>461063</v>
      </c>
      <c r="R217" s="231">
        <v>192.1</v>
      </c>
      <c r="S217" s="230">
        <v>660484</v>
      </c>
      <c r="T217" s="231">
        <v>275.2</v>
      </c>
      <c r="U217" s="230">
        <v>1023215</v>
      </c>
      <c r="V217" s="231">
        <v>319.8</v>
      </c>
      <c r="W217" s="230">
        <v>767525</v>
      </c>
      <c r="X217" s="231">
        <v>213.2</v>
      </c>
      <c r="Y217" s="230">
        <v>639707</v>
      </c>
      <c r="Z217" s="273">
        <v>266.5</v>
      </c>
    </row>
    <row r="218" spans="1:26" x14ac:dyDescent="0.2">
      <c r="A218" s="699"/>
      <c r="B218" s="272" t="s">
        <v>374</v>
      </c>
      <c r="C218" s="230">
        <v>0</v>
      </c>
      <c r="D218" s="231">
        <v>0</v>
      </c>
      <c r="E218" s="230">
        <v>0</v>
      </c>
      <c r="F218" s="273">
        <v>0</v>
      </c>
      <c r="G218" s="285">
        <v>20936</v>
      </c>
      <c r="H218" s="231">
        <v>69.8</v>
      </c>
      <c r="I218" s="230">
        <v>219749</v>
      </c>
      <c r="J218" s="273">
        <v>61</v>
      </c>
      <c r="K218" s="285">
        <v>197052</v>
      </c>
      <c r="L218" s="231">
        <v>82.1</v>
      </c>
      <c r="M218" s="230">
        <v>285871</v>
      </c>
      <c r="N218" s="231">
        <v>79.400000000000006</v>
      </c>
      <c r="O218" s="230">
        <v>664275</v>
      </c>
      <c r="P218" s="231">
        <v>184.5</v>
      </c>
      <c r="Q218" s="230">
        <v>441199</v>
      </c>
      <c r="R218" s="231">
        <v>183.8</v>
      </c>
      <c r="S218" s="230">
        <v>255619</v>
      </c>
      <c r="T218" s="231">
        <v>106.5</v>
      </c>
      <c r="U218" s="230">
        <v>278990</v>
      </c>
      <c r="V218" s="231">
        <v>87.2</v>
      </c>
      <c r="W218" s="230">
        <v>497458</v>
      </c>
      <c r="X218" s="231">
        <v>138.19999999999999</v>
      </c>
      <c r="Y218" s="230">
        <v>161108</v>
      </c>
      <c r="Z218" s="273">
        <v>67.099999999999994</v>
      </c>
    </row>
    <row r="219" spans="1:26" x14ac:dyDescent="0.2">
      <c r="A219" s="699"/>
      <c r="B219" s="272" t="s">
        <v>375</v>
      </c>
      <c r="C219" s="230">
        <v>4765</v>
      </c>
      <c r="D219" s="231">
        <v>29.8</v>
      </c>
      <c r="E219" s="230">
        <v>26792</v>
      </c>
      <c r="F219" s="273">
        <v>29.8</v>
      </c>
      <c r="G219" s="285">
        <v>3007</v>
      </c>
      <c r="H219" s="231">
        <v>10</v>
      </c>
      <c r="I219" s="230">
        <v>18040</v>
      </c>
      <c r="J219" s="273">
        <v>5</v>
      </c>
      <c r="K219" s="285">
        <v>23530</v>
      </c>
      <c r="L219" s="231">
        <v>9.8000000000000007</v>
      </c>
      <c r="M219" s="230">
        <v>18040</v>
      </c>
      <c r="N219" s="231">
        <v>5</v>
      </c>
      <c r="O219" s="230">
        <v>107170</v>
      </c>
      <c r="P219" s="231">
        <v>29.8</v>
      </c>
      <c r="Q219" s="230">
        <v>71482</v>
      </c>
      <c r="R219" s="231">
        <v>29.8</v>
      </c>
      <c r="S219" s="230">
        <v>71482</v>
      </c>
      <c r="T219" s="231">
        <v>29.8</v>
      </c>
      <c r="U219" s="230">
        <v>156864</v>
      </c>
      <c r="V219" s="231">
        <v>49</v>
      </c>
      <c r="W219" s="230">
        <v>36408</v>
      </c>
      <c r="X219" s="231">
        <v>10.1</v>
      </c>
      <c r="Y219" s="230">
        <v>24054</v>
      </c>
      <c r="Z219" s="273">
        <v>10</v>
      </c>
    </row>
    <row r="220" spans="1:26" x14ac:dyDescent="0.2">
      <c r="A220" s="699"/>
      <c r="B220" s="272" t="s">
        <v>376</v>
      </c>
      <c r="C220" s="230">
        <v>0</v>
      </c>
      <c r="D220" s="231">
        <v>0</v>
      </c>
      <c r="E220" s="230">
        <v>0</v>
      </c>
      <c r="F220" s="273">
        <v>0</v>
      </c>
      <c r="G220" s="285">
        <v>13572</v>
      </c>
      <c r="H220" s="231">
        <v>45.2</v>
      </c>
      <c r="I220" s="230">
        <v>156600</v>
      </c>
      <c r="J220" s="273">
        <v>43.5</v>
      </c>
      <c r="K220" s="285">
        <v>119244</v>
      </c>
      <c r="L220" s="231">
        <v>49.7</v>
      </c>
      <c r="M220" s="230">
        <v>203537</v>
      </c>
      <c r="N220" s="231">
        <v>56.5</v>
      </c>
      <c r="O220" s="230">
        <v>454117</v>
      </c>
      <c r="P220" s="231">
        <v>126.1</v>
      </c>
      <c r="Q220" s="230">
        <v>265534</v>
      </c>
      <c r="R220" s="231">
        <v>110.6</v>
      </c>
      <c r="S220" s="230">
        <v>184952</v>
      </c>
      <c r="T220" s="231">
        <v>77.099999999999994</v>
      </c>
      <c r="U220" s="230">
        <v>137588</v>
      </c>
      <c r="V220" s="231">
        <v>43</v>
      </c>
      <c r="W220" s="230">
        <v>374400</v>
      </c>
      <c r="X220" s="231">
        <v>104</v>
      </c>
      <c r="Y220" s="230">
        <v>116928</v>
      </c>
      <c r="Z220" s="273">
        <v>48.7</v>
      </c>
    </row>
    <row r="221" spans="1:26" x14ac:dyDescent="0.2">
      <c r="A221" s="699"/>
      <c r="B221" s="272" t="s">
        <v>377</v>
      </c>
      <c r="C221" s="230">
        <v>232</v>
      </c>
      <c r="D221" s="231">
        <v>1.4</v>
      </c>
      <c r="E221" s="230">
        <v>1176</v>
      </c>
      <c r="F221" s="273">
        <v>1.3</v>
      </c>
      <c r="G221" s="285">
        <v>585</v>
      </c>
      <c r="H221" s="231">
        <v>2</v>
      </c>
      <c r="I221" s="230">
        <v>9950</v>
      </c>
      <c r="J221" s="273">
        <v>2.8</v>
      </c>
      <c r="K221" s="285">
        <v>4635</v>
      </c>
      <c r="L221" s="231">
        <v>1.9</v>
      </c>
      <c r="M221" s="230">
        <v>11352</v>
      </c>
      <c r="N221" s="231">
        <v>3.2</v>
      </c>
      <c r="O221" s="230">
        <v>13232</v>
      </c>
      <c r="P221" s="231">
        <v>3.7</v>
      </c>
      <c r="Q221" s="230">
        <v>4190</v>
      </c>
      <c r="R221" s="231">
        <v>1.7</v>
      </c>
      <c r="S221" s="230">
        <v>7901</v>
      </c>
      <c r="T221" s="231">
        <v>3.3</v>
      </c>
      <c r="U221" s="230">
        <v>6242</v>
      </c>
      <c r="V221" s="231">
        <v>2</v>
      </c>
      <c r="W221" s="230">
        <v>14641</v>
      </c>
      <c r="X221" s="231">
        <v>4.0999999999999996</v>
      </c>
      <c r="Y221" s="230">
        <v>8276</v>
      </c>
      <c r="Z221" s="273">
        <v>3.4</v>
      </c>
    </row>
    <row r="222" spans="1:26" x14ac:dyDescent="0.2">
      <c r="A222" s="699"/>
      <c r="B222" s="272" t="s">
        <v>378</v>
      </c>
      <c r="C222" s="230">
        <v>2164</v>
      </c>
      <c r="D222" s="231">
        <v>13.5</v>
      </c>
      <c r="E222" s="230">
        <v>12175</v>
      </c>
      <c r="F222" s="273">
        <v>13.5</v>
      </c>
      <c r="G222" s="285">
        <v>15269</v>
      </c>
      <c r="H222" s="231">
        <v>50.9</v>
      </c>
      <c r="I222" s="230">
        <v>211453</v>
      </c>
      <c r="J222" s="273">
        <v>58.7</v>
      </c>
      <c r="K222" s="285">
        <v>125759</v>
      </c>
      <c r="L222" s="231">
        <v>52.4</v>
      </c>
      <c r="M222" s="230">
        <v>211453</v>
      </c>
      <c r="N222" s="231">
        <v>58.7</v>
      </c>
      <c r="O222" s="230">
        <v>374581</v>
      </c>
      <c r="P222" s="231">
        <v>104.1</v>
      </c>
      <c r="Q222" s="230">
        <v>249557</v>
      </c>
      <c r="R222" s="231">
        <v>104</v>
      </c>
      <c r="S222" s="230">
        <v>249557</v>
      </c>
      <c r="T222" s="231">
        <v>104</v>
      </c>
      <c r="U222" s="230">
        <v>154800</v>
      </c>
      <c r="V222" s="231">
        <v>48.4</v>
      </c>
      <c r="W222" s="230">
        <v>473873</v>
      </c>
      <c r="X222" s="231">
        <v>131.6</v>
      </c>
      <c r="Y222" s="230">
        <v>131544</v>
      </c>
      <c r="Z222" s="273">
        <v>54.8</v>
      </c>
    </row>
    <row r="223" spans="1:26" x14ac:dyDescent="0.2">
      <c r="A223" s="699"/>
      <c r="B223" s="272" t="s">
        <v>379</v>
      </c>
      <c r="C223" s="230">
        <v>3329</v>
      </c>
      <c r="D223" s="231">
        <v>20.8</v>
      </c>
      <c r="E223" s="230">
        <v>18727</v>
      </c>
      <c r="F223" s="273">
        <v>20.8</v>
      </c>
      <c r="G223" s="285">
        <v>2036</v>
      </c>
      <c r="H223" s="231">
        <v>6.8</v>
      </c>
      <c r="I223" s="230">
        <v>155070</v>
      </c>
      <c r="J223" s="273">
        <v>43.1</v>
      </c>
      <c r="K223" s="285">
        <v>40248</v>
      </c>
      <c r="L223" s="231">
        <v>16.8</v>
      </c>
      <c r="M223" s="230">
        <v>155070</v>
      </c>
      <c r="N223" s="231">
        <v>43.1</v>
      </c>
      <c r="O223" s="230">
        <v>199728</v>
      </c>
      <c r="P223" s="231">
        <v>55.5</v>
      </c>
      <c r="Q223" s="230">
        <v>66576</v>
      </c>
      <c r="R223" s="231">
        <v>27.7</v>
      </c>
      <c r="S223" s="230">
        <v>16644</v>
      </c>
      <c r="T223" s="231">
        <v>6.9</v>
      </c>
      <c r="U223" s="230">
        <v>10320</v>
      </c>
      <c r="V223" s="231">
        <v>3.2</v>
      </c>
      <c r="W223" s="230">
        <v>16848</v>
      </c>
      <c r="X223" s="231">
        <v>4.7</v>
      </c>
      <c r="Y223" s="230">
        <v>8770</v>
      </c>
      <c r="Z223" s="273">
        <v>3.7</v>
      </c>
    </row>
    <row r="224" spans="1:26" x14ac:dyDescent="0.2">
      <c r="A224" s="699"/>
      <c r="B224" s="272" t="s">
        <v>380</v>
      </c>
      <c r="C224" s="230">
        <v>0</v>
      </c>
      <c r="D224" s="231">
        <v>0</v>
      </c>
      <c r="E224" s="235">
        <v>0</v>
      </c>
      <c r="F224" s="273">
        <v>0</v>
      </c>
      <c r="G224" s="285">
        <v>0</v>
      </c>
      <c r="H224" s="231">
        <v>0</v>
      </c>
      <c r="I224" s="230">
        <v>0</v>
      </c>
      <c r="J224" s="273">
        <v>0</v>
      </c>
      <c r="K224" s="285">
        <v>0</v>
      </c>
      <c r="L224" s="231">
        <v>0</v>
      </c>
      <c r="M224" s="230">
        <v>0</v>
      </c>
      <c r="N224" s="231">
        <v>0</v>
      </c>
      <c r="O224" s="230">
        <v>0</v>
      </c>
      <c r="P224" s="231">
        <v>0</v>
      </c>
      <c r="Q224" s="230">
        <v>0</v>
      </c>
      <c r="R224" s="231">
        <v>0</v>
      </c>
      <c r="S224" s="230">
        <v>0</v>
      </c>
      <c r="T224" s="231">
        <v>0</v>
      </c>
      <c r="U224" s="230">
        <v>0</v>
      </c>
      <c r="V224" s="231">
        <v>0</v>
      </c>
      <c r="W224" s="230">
        <v>0</v>
      </c>
      <c r="X224" s="231">
        <v>0</v>
      </c>
      <c r="Y224" s="230">
        <v>0</v>
      </c>
      <c r="Z224" s="273">
        <v>0</v>
      </c>
    </row>
    <row r="225" spans="1:26" x14ac:dyDescent="0.2">
      <c r="A225" s="699"/>
      <c r="B225" s="272" t="s">
        <v>381</v>
      </c>
      <c r="C225" s="230">
        <v>0</v>
      </c>
      <c r="D225" s="231">
        <v>0</v>
      </c>
      <c r="E225" s="235">
        <v>0</v>
      </c>
      <c r="F225" s="273">
        <v>0</v>
      </c>
      <c r="G225" s="285">
        <v>0</v>
      </c>
      <c r="H225" s="231">
        <v>0</v>
      </c>
      <c r="I225" s="230">
        <v>27840</v>
      </c>
      <c r="J225" s="273">
        <v>7.7</v>
      </c>
      <c r="K225" s="285">
        <v>0</v>
      </c>
      <c r="L225" s="231">
        <v>0</v>
      </c>
      <c r="M225" s="230">
        <v>35848</v>
      </c>
      <c r="N225" s="231">
        <v>10</v>
      </c>
      <c r="O225" s="230">
        <v>68351</v>
      </c>
      <c r="P225" s="231">
        <v>19</v>
      </c>
      <c r="Q225" s="230">
        <v>0</v>
      </c>
      <c r="R225" s="231">
        <v>0</v>
      </c>
      <c r="S225" s="230">
        <v>29653</v>
      </c>
      <c r="T225" s="231">
        <v>12.4</v>
      </c>
      <c r="U225" s="230">
        <v>0</v>
      </c>
      <c r="V225" s="231">
        <v>0</v>
      </c>
      <c r="W225" s="230">
        <v>70164</v>
      </c>
      <c r="X225" s="231">
        <v>19.5</v>
      </c>
      <c r="Y225" s="230">
        <v>22221</v>
      </c>
      <c r="Z225" s="273">
        <v>9.3000000000000007</v>
      </c>
    </row>
    <row r="226" spans="1:26" s="20" customFormat="1" x14ac:dyDescent="0.2">
      <c r="A226" s="699"/>
      <c r="B226" s="274" t="s">
        <v>382</v>
      </c>
      <c r="C226" s="275">
        <v>72552</v>
      </c>
      <c r="D226" s="276">
        <v>453.5</v>
      </c>
      <c r="E226" s="277">
        <v>335987</v>
      </c>
      <c r="F226" s="287">
        <v>373.3</v>
      </c>
      <c r="G226" s="286">
        <v>154772</v>
      </c>
      <c r="H226" s="276">
        <v>515.9</v>
      </c>
      <c r="I226" s="275">
        <v>1385414</v>
      </c>
      <c r="J226" s="279">
        <v>384.8</v>
      </c>
      <c r="K226" s="286">
        <v>984104</v>
      </c>
      <c r="L226" s="276">
        <v>410</v>
      </c>
      <c r="M226" s="275">
        <v>1571188</v>
      </c>
      <c r="N226" s="276">
        <v>436.4</v>
      </c>
      <c r="O226" s="275">
        <v>2810336</v>
      </c>
      <c r="P226" s="276">
        <v>780.6</v>
      </c>
      <c r="Q226" s="275">
        <v>1559601</v>
      </c>
      <c r="R226" s="276">
        <v>649.79999999999995</v>
      </c>
      <c r="S226" s="275">
        <v>1476292</v>
      </c>
      <c r="T226" s="276">
        <v>615.1</v>
      </c>
      <c r="U226" s="275">
        <v>1768019</v>
      </c>
      <c r="V226" s="276">
        <v>552.5</v>
      </c>
      <c r="W226" s="275">
        <v>2251317</v>
      </c>
      <c r="X226" s="276">
        <v>625.4</v>
      </c>
      <c r="Y226" s="275">
        <v>1112607</v>
      </c>
      <c r="Z226" s="279">
        <v>463.6</v>
      </c>
    </row>
    <row r="227" spans="1:26" s="216" customFormat="1" x14ac:dyDescent="0.2">
      <c r="A227" s="699"/>
      <c r="B227" s="283" t="s">
        <v>491</v>
      </c>
      <c r="C227" s="289" t="s">
        <v>372</v>
      </c>
      <c r="D227" s="291" t="s">
        <v>397</v>
      </c>
      <c r="E227" s="289" t="s">
        <v>372</v>
      </c>
      <c r="F227" s="291" t="s">
        <v>397</v>
      </c>
      <c r="G227" s="289" t="s">
        <v>372</v>
      </c>
      <c r="H227" s="291" t="s">
        <v>397</v>
      </c>
      <c r="I227" s="289" t="s">
        <v>372</v>
      </c>
      <c r="J227" s="291" t="s">
        <v>397</v>
      </c>
      <c r="K227" s="289" t="s">
        <v>372</v>
      </c>
      <c r="L227" s="291" t="s">
        <v>397</v>
      </c>
      <c r="M227" s="289" t="s">
        <v>372</v>
      </c>
      <c r="N227" s="291" t="s">
        <v>397</v>
      </c>
      <c r="O227" s="289" t="s">
        <v>372</v>
      </c>
      <c r="P227" s="291" t="s">
        <v>397</v>
      </c>
      <c r="Q227" s="289" t="s">
        <v>372</v>
      </c>
      <c r="R227" s="291" t="s">
        <v>397</v>
      </c>
      <c r="S227" s="289" t="s">
        <v>372</v>
      </c>
      <c r="T227" s="291" t="s">
        <v>397</v>
      </c>
      <c r="U227" s="289" t="s">
        <v>372</v>
      </c>
      <c r="V227" s="291" t="s">
        <v>397</v>
      </c>
      <c r="W227" s="289" t="s">
        <v>372</v>
      </c>
      <c r="X227" s="291" t="s">
        <v>397</v>
      </c>
      <c r="Y227" s="289" t="s">
        <v>372</v>
      </c>
      <c r="Z227" s="291" t="s">
        <v>397</v>
      </c>
    </row>
    <row r="228" spans="1:26" x14ac:dyDescent="0.2">
      <c r="A228" s="699"/>
      <c r="B228" s="272" t="s">
        <v>373</v>
      </c>
      <c r="C228" s="230">
        <f>C$6-C217</f>
        <v>3285</v>
      </c>
      <c r="D228" s="293">
        <f t="shared" ref="D228:Z228" si="72">D$6-D217</f>
        <v>20.5</v>
      </c>
      <c r="E228" s="230">
        <f t="shared" si="72"/>
        <v>15222</v>
      </c>
      <c r="F228" s="293">
        <f t="shared" si="72"/>
        <v>16.900000000000034</v>
      </c>
      <c r="G228" s="230">
        <f t="shared" si="72"/>
        <v>17253</v>
      </c>
      <c r="H228" s="293">
        <f t="shared" si="72"/>
        <v>57.5</v>
      </c>
      <c r="I228" s="230">
        <f t="shared" si="72"/>
        <v>108996</v>
      </c>
      <c r="J228" s="293">
        <f t="shared" si="72"/>
        <v>30.300000000000011</v>
      </c>
      <c r="K228" s="230">
        <f t="shared" si="72"/>
        <v>107581</v>
      </c>
      <c r="L228" s="293">
        <f t="shared" si="72"/>
        <v>44.899999999999977</v>
      </c>
      <c r="M228" s="230">
        <f t="shared" si="72"/>
        <v>110850</v>
      </c>
      <c r="N228" s="293">
        <f t="shared" si="72"/>
        <v>30.800000000000011</v>
      </c>
      <c r="O228" s="230">
        <f t="shared" si="72"/>
        <v>74881</v>
      </c>
      <c r="P228" s="293">
        <f t="shared" si="72"/>
        <v>20.800000000000011</v>
      </c>
      <c r="Q228" s="230">
        <f t="shared" si="72"/>
        <v>44293</v>
      </c>
      <c r="R228" s="293">
        <f t="shared" si="72"/>
        <v>18.5</v>
      </c>
      <c r="S228" s="230">
        <f t="shared" si="72"/>
        <v>35790</v>
      </c>
      <c r="T228" s="293">
        <f t="shared" si="72"/>
        <v>14.900000000000034</v>
      </c>
      <c r="U228" s="230">
        <f t="shared" si="72"/>
        <v>221187</v>
      </c>
      <c r="V228" s="293">
        <f t="shared" si="72"/>
        <v>69.099999999999966</v>
      </c>
      <c r="W228" s="230">
        <f t="shared" si="72"/>
        <v>94345</v>
      </c>
      <c r="X228" s="293">
        <f t="shared" si="72"/>
        <v>26.200000000000017</v>
      </c>
      <c r="Y228" s="230">
        <f t="shared" si="72"/>
        <v>91604</v>
      </c>
      <c r="Z228" s="293">
        <f t="shared" si="72"/>
        <v>38.199999999999989</v>
      </c>
    </row>
    <row r="229" spans="1:26" x14ac:dyDescent="0.2">
      <c r="A229" s="699"/>
      <c r="B229" s="272" t="s">
        <v>374</v>
      </c>
      <c r="C229" s="230">
        <f t="shared" ref="C229:Z229" si="73">C$7-C218</f>
        <v>0</v>
      </c>
      <c r="D229" s="293">
        <f t="shared" si="73"/>
        <v>0</v>
      </c>
      <c r="E229" s="230">
        <f t="shared" si="73"/>
        <v>0</v>
      </c>
      <c r="F229" s="293">
        <f t="shared" si="73"/>
        <v>0</v>
      </c>
      <c r="G229" s="230">
        <f t="shared" si="73"/>
        <v>-243</v>
      </c>
      <c r="H229" s="293">
        <f t="shared" si="73"/>
        <v>-0.79999999999999716</v>
      </c>
      <c r="I229" s="230">
        <f t="shared" si="73"/>
        <v>-2131</v>
      </c>
      <c r="J229" s="293">
        <f t="shared" si="73"/>
        <v>-0.60000000000000142</v>
      </c>
      <c r="K229" s="230">
        <f t="shared" si="73"/>
        <v>-2268</v>
      </c>
      <c r="L229" s="293">
        <f t="shared" si="73"/>
        <v>-0.89999999999999147</v>
      </c>
      <c r="M229" s="230">
        <f t="shared" si="73"/>
        <v>-2432</v>
      </c>
      <c r="N229" s="293">
        <f t="shared" si="73"/>
        <v>-0.70000000000000284</v>
      </c>
      <c r="O229" s="230">
        <f t="shared" si="73"/>
        <v>-12245</v>
      </c>
      <c r="P229" s="293">
        <f t="shared" si="73"/>
        <v>-3.4000000000000057</v>
      </c>
      <c r="Q229" s="230">
        <f t="shared" si="73"/>
        <v>-9766</v>
      </c>
      <c r="R229" s="293">
        <f t="shared" si="73"/>
        <v>-4</v>
      </c>
      <c r="S229" s="230">
        <f t="shared" si="73"/>
        <v>-1632</v>
      </c>
      <c r="T229" s="293">
        <f t="shared" si="73"/>
        <v>-0.70000000000000284</v>
      </c>
      <c r="U229" s="230">
        <f t="shared" si="73"/>
        <v>-2366</v>
      </c>
      <c r="V229" s="293">
        <f t="shared" si="73"/>
        <v>-0.79999999999999716</v>
      </c>
      <c r="W229" s="230">
        <f t="shared" si="73"/>
        <v>-3706</v>
      </c>
      <c r="X229" s="293">
        <f t="shared" si="73"/>
        <v>-1</v>
      </c>
      <c r="Y229" s="230">
        <f t="shared" si="73"/>
        <v>-1477</v>
      </c>
      <c r="Z229" s="293">
        <f t="shared" si="73"/>
        <v>-0.59999999999999432</v>
      </c>
    </row>
    <row r="230" spans="1:26" x14ac:dyDescent="0.2">
      <c r="A230" s="699"/>
      <c r="B230" s="272" t="s">
        <v>375</v>
      </c>
      <c r="C230" s="230">
        <f>C$8-C219</f>
        <v>0</v>
      </c>
      <c r="D230" s="293">
        <f t="shared" ref="D230:Z230" si="74">D$8-D219</f>
        <v>0</v>
      </c>
      <c r="E230" s="230">
        <f t="shared" si="74"/>
        <v>0</v>
      </c>
      <c r="F230" s="293">
        <f t="shared" si="74"/>
        <v>0</v>
      </c>
      <c r="G230" s="230">
        <f t="shared" si="74"/>
        <v>0</v>
      </c>
      <c r="H230" s="293">
        <f t="shared" si="74"/>
        <v>0</v>
      </c>
      <c r="I230" s="230">
        <f t="shared" si="74"/>
        <v>0</v>
      </c>
      <c r="J230" s="293">
        <f t="shared" si="74"/>
        <v>0</v>
      </c>
      <c r="K230" s="230">
        <f t="shared" si="74"/>
        <v>0</v>
      </c>
      <c r="L230" s="293">
        <f t="shared" si="74"/>
        <v>0</v>
      </c>
      <c r="M230" s="230">
        <f t="shared" si="74"/>
        <v>0</v>
      </c>
      <c r="N230" s="293">
        <f t="shared" si="74"/>
        <v>0</v>
      </c>
      <c r="O230" s="230">
        <f t="shared" si="74"/>
        <v>0</v>
      </c>
      <c r="P230" s="293">
        <f t="shared" si="74"/>
        <v>0</v>
      </c>
      <c r="Q230" s="230">
        <f t="shared" si="74"/>
        <v>0</v>
      </c>
      <c r="R230" s="293">
        <f t="shared" si="74"/>
        <v>0</v>
      </c>
      <c r="S230" s="230">
        <f t="shared" si="74"/>
        <v>0</v>
      </c>
      <c r="T230" s="293">
        <f t="shared" si="74"/>
        <v>0</v>
      </c>
      <c r="U230" s="230">
        <f t="shared" si="74"/>
        <v>0</v>
      </c>
      <c r="V230" s="293">
        <f t="shared" si="74"/>
        <v>0</v>
      </c>
      <c r="W230" s="230">
        <f t="shared" si="74"/>
        <v>0</v>
      </c>
      <c r="X230" s="293">
        <f t="shared" si="74"/>
        <v>0</v>
      </c>
      <c r="Y230" s="230">
        <f t="shared" si="74"/>
        <v>0</v>
      </c>
      <c r="Z230" s="293">
        <f t="shared" si="74"/>
        <v>0</v>
      </c>
    </row>
    <row r="231" spans="1:26" x14ac:dyDescent="0.2">
      <c r="A231" s="699"/>
      <c r="B231" s="272" t="s">
        <v>376</v>
      </c>
      <c r="C231" s="230">
        <f t="shared" ref="C231:Z231" si="75">C$9-C220</f>
        <v>0</v>
      </c>
      <c r="D231" s="293">
        <f t="shared" si="75"/>
        <v>0</v>
      </c>
      <c r="E231" s="230">
        <f t="shared" si="75"/>
        <v>0</v>
      </c>
      <c r="F231" s="293">
        <f t="shared" si="75"/>
        <v>0</v>
      </c>
      <c r="G231" s="230">
        <f t="shared" si="75"/>
        <v>0</v>
      </c>
      <c r="H231" s="293">
        <f t="shared" si="75"/>
        <v>0</v>
      </c>
      <c r="I231" s="230">
        <f t="shared" si="75"/>
        <v>0</v>
      </c>
      <c r="J231" s="293">
        <f t="shared" si="75"/>
        <v>0</v>
      </c>
      <c r="K231" s="230">
        <f t="shared" si="75"/>
        <v>0</v>
      </c>
      <c r="L231" s="293">
        <f t="shared" si="75"/>
        <v>0</v>
      </c>
      <c r="M231" s="230">
        <f t="shared" si="75"/>
        <v>0</v>
      </c>
      <c r="N231" s="293">
        <f t="shared" si="75"/>
        <v>0</v>
      </c>
      <c r="O231" s="230">
        <f t="shared" si="75"/>
        <v>0</v>
      </c>
      <c r="P231" s="293">
        <f t="shared" si="75"/>
        <v>0</v>
      </c>
      <c r="Q231" s="230">
        <f t="shared" si="75"/>
        <v>0</v>
      </c>
      <c r="R231" s="293">
        <f t="shared" si="75"/>
        <v>0</v>
      </c>
      <c r="S231" s="230">
        <f t="shared" si="75"/>
        <v>0</v>
      </c>
      <c r="T231" s="293">
        <f t="shared" si="75"/>
        <v>0</v>
      </c>
      <c r="U231" s="230">
        <f t="shared" si="75"/>
        <v>0</v>
      </c>
      <c r="V231" s="293">
        <f t="shared" si="75"/>
        <v>0</v>
      </c>
      <c r="W231" s="230">
        <f t="shared" si="75"/>
        <v>0</v>
      </c>
      <c r="X231" s="293">
        <f t="shared" si="75"/>
        <v>0</v>
      </c>
      <c r="Y231" s="230">
        <f t="shared" si="75"/>
        <v>0</v>
      </c>
      <c r="Z231" s="293">
        <f t="shared" si="75"/>
        <v>0</v>
      </c>
    </row>
    <row r="232" spans="1:26" x14ac:dyDescent="0.2">
      <c r="A232" s="699"/>
      <c r="B232" s="272" t="s">
        <v>377</v>
      </c>
      <c r="C232" s="230">
        <f t="shared" ref="C232:Z232" si="76">C$10-C221</f>
        <v>0</v>
      </c>
      <c r="D232" s="293">
        <f t="shared" si="76"/>
        <v>0</v>
      </c>
      <c r="E232" s="230">
        <f t="shared" si="76"/>
        <v>-74</v>
      </c>
      <c r="F232" s="293">
        <f t="shared" si="76"/>
        <v>-0.10000000000000009</v>
      </c>
      <c r="G232" s="230">
        <f t="shared" si="76"/>
        <v>0</v>
      </c>
      <c r="H232" s="293">
        <f t="shared" si="76"/>
        <v>0</v>
      </c>
      <c r="I232" s="230">
        <f t="shared" si="76"/>
        <v>-1168</v>
      </c>
      <c r="J232" s="293">
        <f t="shared" si="76"/>
        <v>-0.39999999999999991</v>
      </c>
      <c r="K232" s="230">
        <f t="shared" si="76"/>
        <v>0</v>
      </c>
      <c r="L232" s="293">
        <f t="shared" si="76"/>
        <v>0</v>
      </c>
      <c r="M232" s="230">
        <f t="shared" si="76"/>
        <v>-1315</v>
      </c>
      <c r="N232" s="293">
        <f t="shared" si="76"/>
        <v>-0.40000000000000036</v>
      </c>
      <c r="O232" s="230">
        <f t="shared" si="76"/>
        <v>-996</v>
      </c>
      <c r="P232" s="293">
        <f t="shared" si="76"/>
        <v>-0.30000000000000027</v>
      </c>
      <c r="Q232" s="230">
        <f t="shared" si="76"/>
        <v>-511</v>
      </c>
      <c r="R232" s="293">
        <f t="shared" si="76"/>
        <v>-0.19999999999999996</v>
      </c>
      <c r="S232" s="230">
        <f t="shared" si="76"/>
        <v>-777</v>
      </c>
      <c r="T232" s="293">
        <f t="shared" si="76"/>
        <v>-0.29999999999999982</v>
      </c>
      <c r="U232" s="230">
        <f t="shared" si="76"/>
        <v>0</v>
      </c>
      <c r="V232" s="293">
        <f t="shared" si="76"/>
        <v>0</v>
      </c>
      <c r="W232" s="230">
        <f t="shared" si="76"/>
        <v>-606</v>
      </c>
      <c r="X232" s="293">
        <f t="shared" si="76"/>
        <v>-0.19999999999999973</v>
      </c>
      <c r="Y232" s="230">
        <f t="shared" si="76"/>
        <v>-1296</v>
      </c>
      <c r="Z232" s="293">
        <f t="shared" si="76"/>
        <v>-0.5</v>
      </c>
    </row>
    <row r="233" spans="1:26" x14ac:dyDescent="0.2">
      <c r="A233" s="699"/>
      <c r="B233" s="272" t="s">
        <v>378</v>
      </c>
      <c r="C233" s="230">
        <f t="shared" ref="C233:Z233" si="77">C$11-C222</f>
        <v>0</v>
      </c>
      <c r="D233" s="293">
        <f t="shared" si="77"/>
        <v>0</v>
      </c>
      <c r="E233" s="230">
        <f t="shared" si="77"/>
        <v>0</v>
      </c>
      <c r="F233" s="293">
        <f t="shared" si="77"/>
        <v>0</v>
      </c>
      <c r="G233" s="230">
        <f t="shared" si="77"/>
        <v>0</v>
      </c>
      <c r="H233" s="293">
        <f>H$11-H222</f>
        <v>0</v>
      </c>
      <c r="I233" s="230">
        <f t="shared" si="77"/>
        <v>0</v>
      </c>
      <c r="J233" s="293">
        <f t="shared" si="77"/>
        <v>0</v>
      </c>
      <c r="K233" s="230">
        <f t="shared" si="77"/>
        <v>0</v>
      </c>
      <c r="L233" s="293">
        <f t="shared" si="77"/>
        <v>0</v>
      </c>
      <c r="M233" s="230">
        <f t="shared" si="77"/>
        <v>0</v>
      </c>
      <c r="N233" s="293">
        <f t="shared" si="77"/>
        <v>0</v>
      </c>
      <c r="O233" s="230">
        <f t="shared" si="77"/>
        <v>0</v>
      </c>
      <c r="P233" s="293">
        <f t="shared" si="77"/>
        <v>0</v>
      </c>
      <c r="Q233" s="230">
        <f t="shared" si="77"/>
        <v>0</v>
      </c>
      <c r="R233" s="293">
        <f t="shared" si="77"/>
        <v>0</v>
      </c>
      <c r="S233" s="230">
        <f t="shared" si="77"/>
        <v>0</v>
      </c>
      <c r="T233" s="293">
        <f t="shared" si="77"/>
        <v>0</v>
      </c>
      <c r="U233" s="230">
        <f t="shared" si="77"/>
        <v>0</v>
      </c>
      <c r="V233" s="293">
        <f t="shared" si="77"/>
        <v>0</v>
      </c>
      <c r="W233" s="230">
        <f t="shared" si="77"/>
        <v>0</v>
      </c>
      <c r="X233" s="293">
        <f t="shared" si="77"/>
        <v>0</v>
      </c>
      <c r="Y233" s="230">
        <f t="shared" si="77"/>
        <v>0</v>
      </c>
      <c r="Z233" s="293">
        <f t="shared" si="77"/>
        <v>0</v>
      </c>
    </row>
    <row r="234" spans="1:26" x14ac:dyDescent="0.2">
      <c r="A234" s="699"/>
      <c r="B234" s="272" t="s">
        <v>379</v>
      </c>
      <c r="C234" s="230">
        <f t="shared" ref="C234:Z234" si="78">C$12-C223</f>
        <v>0</v>
      </c>
      <c r="D234" s="293">
        <f t="shared" si="78"/>
        <v>0</v>
      </c>
      <c r="E234" s="230">
        <f t="shared" si="78"/>
        <v>0</v>
      </c>
      <c r="F234" s="293">
        <f t="shared" si="78"/>
        <v>0</v>
      </c>
      <c r="G234" s="230">
        <f t="shared" si="78"/>
        <v>0</v>
      </c>
      <c r="H234" s="293">
        <f t="shared" si="78"/>
        <v>0</v>
      </c>
      <c r="I234" s="230">
        <f t="shared" si="78"/>
        <v>0</v>
      </c>
      <c r="J234" s="293">
        <f t="shared" si="78"/>
        <v>0</v>
      </c>
      <c r="K234" s="230">
        <f t="shared" si="78"/>
        <v>0</v>
      </c>
      <c r="L234" s="293">
        <f t="shared" si="78"/>
        <v>0</v>
      </c>
      <c r="M234" s="230">
        <f t="shared" si="78"/>
        <v>0</v>
      </c>
      <c r="N234" s="293">
        <f t="shared" si="78"/>
        <v>0</v>
      </c>
      <c r="O234" s="230">
        <f t="shared" si="78"/>
        <v>0</v>
      </c>
      <c r="P234" s="293">
        <f t="shared" si="78"/>
        <v>0</v>
      </c>
      <c r="Q234" s="230">
        <f t="shared" si="78"/>
        <v>0</v>
      </c>
      <c r="R234" s="293">
        <f t="shared" si="78"/>
        <v>0</v>
      </c>
      <c r="S234" s="230">
        <f t="shared" si="78"/>
        <v>0</v>
      </c>
      <c r="T234" s="293">
        <f t="shared" si="78"/>
        <v>0</v>
      </c>
      <c r="U234" s="230">
        <f t="shared" si="78"/>
        <v>0</v>
      </c>
      <c r="V234" s="293">
        <f t="shared" si="78"/>
        <v>0</v>
      </c>
      <c r="W234" s="230">
        <f t="shared" si="78"/>
        <v>0</v>
      </c>
      <c r="X234" s="293">
        <f t="shared" si="78"/>
        <v>0</v>
      </c>
      <c r="Y234" s="230">
        <f t="shared" si="78"/>
        <v>0</v>
      </c>
      <c r="Z234" s="293">
        <f t="shared" si="78"/>
        <v>0</v>
      </c>
    </row>
    <row r="235" spans="1:26" x14ac:dyDescent="0.2">
      <c r="A235" s="699"/>
      <c r="B235" s="272" t="s">
        <v>380</v>
      </c>
      <c r="C235" s="230">
        <f t="shared" ref="C235:Z235" si="79">C$13-C224</f>
        <v>0</v>
      </c>
      <c r="D235" s="293">
        <f t="shared" si="79"/>
        <v>0</v>
      </c>
      <c r="E235" s="230">
        <f t="shared" si="79"/>
        <v>0</v>
      </c>
      <c r="F235" s="293">
        <f t="shared" si="79"/>
        <v>0</v>
      </c>
      <c r="G235" s="230">
        <f t="shared" si="79"/>
        <v>0</v>
      </c>
      <c r="H235" s="293">
        <f t="shared" si="79"/>
        <v>0</v>
      </c>
      <c r="I235" s="230">
        <f t="shared" si="79"/>
        <v>0</v>
      </c>
      <c r="J235" s="293">
        <f t="shared" si="79"/>
        <v>0</v>
      </c>
      <c r="K235" s="230">
        <f t="shared" si="79"/>
        <v>0</v>
      </c>
      <c r="L235" s="293">
        <f t="shared" si="79"/>
        <v>0</v>
      </c>
      <c r="M235" s="230">
        <f t="shared" si="79"/>
        <v>0</v>
      </c>
      <c r="N235" s="293">
        <f t="shared" si="79"/>
        <v>0</v>
      </c>
      <c r="O235" s="230">
        <f t="shared" si="79"/>
        <v>0</v>
      </c>
      <c r="P235" s="293">
        <f t="shared" si="79"/>
        <v>0</v>
      </c>
      <c r="Q235" s="230">
        <f t="shared" si="79"/>
        <v>0</v>
      </c>
      <c r="R235" s="293">
        <f t="shared" si="79"/>
        <v>0</v>
      </c>
      <c r="S235" s="230">
        <f t="shared" si="79"/>
        <v>0</v>
      </c>
      <c r="T235" s="293">
        <f t="shared" si="79"/>
        <v>0</v>
      </c>
      <c r="U235" s="230">
        <f t="shared" si="79"/>
        <v>0</v>
      </c>
      <c r="V235" s="293">
        <f t="shared" si="79"/>
        <v>0</v>
      </c>
      <c r="W235" s="230">
        <f t="shared" si="79"/>
        <v>0</v>
      </c>
      <c r="X235" s="293">
        <f t="shared" si="79"/>
        <v>0</v>
      </c>
      <c r="Y235" s="230">
        <f t="shared" si="79"/>
        <v>0</v>
      </c>
      <c r="Z235" s="293">
        <f t="shared" si="79"/>
        <v>0</v>
      </c>
    </row>
    <row r="236" spans="1:26" x14ac:dyDescent="0.2">
      <c r="A236" s="699"/>
      <c r="B236" s="272" t="s">
        <v>381</v>
      </c>
      <c r="C236" s="230">
        <f t="shared" ref="C236:Z236" si="80">C$14-C225</f>
        <v>0</v>
      </c>
      <c r="D236" s="293">
        <f t="shared" si="80"/>
        <v>0</v>
      </c>
      <c r="E236" s="230">
        <f t="shared" si="80"/>
        <v>0</v>
      </c>
      <c r="F236" s="293">
        <f t="shared" si="80"/>
        <v>0</v>
      </c>
      <c r="G236" s="230">
        <f t="shared" si="80"/>
        <v>0</v>
      </c>
      <c r="H236" s="293">
        <f t="shared" si="80"/>
        <v>0</v>
      </c>
      <c r="I236" s="230">
        <f t="shared" si="80"/>
        <v>0</v>
      </c>
      <c r="J236" s="293">
        <f t="shared" si="80"/>
        <v>0</v>
      </c>
      <c r="K236" s="230">
        <f t="shared" si="80"/>
        <v>0</v>
      </c>
      <c r="L236" s="293">
        <f t="shared" si="80"/>
        <v>0</v>
      </c>
      <c r="M236" s="230">
        <f t="shared" si="80"/>
        <v>0</v>
      </c>
      <c r="N236" s="293">
        <f t="shared" si="80"/>
        <v>0</v>
      </c>
      <c r="O236" s="230">
        <f t="shared" si="80"/>
        <v>0</v>
      </c>
      <c r="P236" s="293">
        <f t="shared" si="80"/>
        <v>0</v>
      </c>
      <c r="Q236" s="230">
        <f t="shared" si="80"/>
        <v>0</v>
      </c>
      <c r="R236" s="293">
        <f t="shared" si="80"/>
        <v>0</v>
      </c>
      <c r="S236" s="230">
        <f t="shared" si="80"/>
        <v>0</v>
      </c>
      <c r="T236" s="293">
        <f t="shared" si="80"/>
        <v>0</v>
      </c>
      <c r="U236" s="230">
        <f t="shared" si="80"/>
        <v>0</v>
      </c>
      <c r="V236" s="293">
        <f t="shared" si="80"/>
        <v>0</v>
      </c>
      <c r="W236" s="230">
        <f t="shared" si="80"/>
        <v>0</v>
      </c>
      <c r="X236" s="293">
        <f t="shared" si="80"/>
        <v>0</v>
      </c>
      <c r="Y236" s="230">
        <f t="shared" si="80"/>
        <v>0</v>
      </c>
      <c r="Z236" s="293">
        <f t="shared" si="80"/>
        <v>0</v>
      </c>
    </row>
    <row r="237" spans="1:26" s="20" customFormat="1" x14ac:dyDescent="0.2">
      <c r="A237" s="700"/>
      <c r="B237" s="274" t="s">
        <v>382</v>
      </c>
      <c r="C237" s="275">
        <f t="shared" ref="C237:Z237" si="81">C$15-C226</f>
        <v>3285</v>
      </c>
      <c r="D237" s="294">
        <f t="shared" si="81"/>
        <v>20.5</v>
      </c>
      <c r="E237" s="275">
        <f t="shared" si="81"/>
        <v>15148</v>
      </c>
      <c r="F237" s="294">
        <f t="shared" si="81"/>
        <v>16.899999999999977</v>
      </c>
      <c r="G237" s="275">
        <f t="shared" si="81"/>
        <v>17011</v>
      </c>
      <c r="H237" s="294">
        <f t="shared" si="81"/>
        <v>56.700000000000045</v>
      </c>
      <c r="I237" s="275">
        <f t="shared" si="81"/>
        <v>105696</v>
      </c>
      <c r="J237" s="294">
        <f t="shared" si="81"/>
        <v>29.399999999999977</v>
      </c>
      <c r="K237" s="275">
        <f t="shared" si="81"/>
        <v>105312</v>
      </c>
      <c r="L237" s="294">
        <f t="shared" si="81"/>
        <v>43.899999999999977</v>
      </c>
      <c r="M237" s="275">
        <f t="shared" si="81"/>
        <v>107104</v>
      </c>
      <c r="N237" s="294">
        <f t="shared" si="81"/>
        <v>29.800000000000011</v>
      </c>
      <c r="O237" s="275">
        <f t="shared" si="81"/>
        <v>61639</v>
      </c>
      <c r="P237" s="294">
        <f t="shared" si="81"/>
        <v>17.199999999999932</v>
      </c>
      <c r="Q237" s="275">
        <f t="shared" si="81"/>
        <v>34016</v>
      </c>
      <c r="R237" s="294">
        <f t="shared" si="81"/>
        <v>14.200000000000045</v>
      </c>
      <c r="S237" s="275">
        <f t="shared" si="81"/>
        <v>33380</v>
      </c>
      <c r="T237" s="294">
        <f t="shared" si="81"/>
        <v>13.899999999999977</v>
      </c>
      <c r="U237" s="275">
        <f t="shared" si="81"/>
        <v>218821</v>
      </c>
      <c r="V237" s="294">
        <f t="shared" si="81"/>
        <v>68.399999999999977</v>
      </c>
      <c r="W237" s="275">
        <f t="shared" si="81"/>
        <v>90033</v>
      </c>
      <c r="X237" s="294">
        <f t="shared" si="81"/>
        <v>25</v>
      </c>
      <c r="Y237" s="275">
        <f t="shared" si="81"/>
        <v>88832</v>
      </c>
      <c r="Z237" s="294">
        <f t="shared" si="81"/>
        <v>37</v>
      </c>
    </row>
    <row r="238" spans="1:26" x14ac:dyDescent="0.2">
      <c r="A238" s="201"/>
      <c r="B238" s="201"/>
      <c r="D238" s="270"/>
    </row>
    <row r="239" spans="1:26" s="202" customFormat="1" ht="13.15" customHeight="1" x14ac:dyDescent="0.2">
      <c r="A239" s="698" t="s">
        <v>577</v>
      </c>
      <c r="B239" s="269" t="s">
        <v>488</v>
      </c>
      <c r="C239" s="368"/>
      <c r="D239" s="369"/>
      <c r="E239" s="368"/>
      <c r="F239" s="369"/>
      <c r="G239" s="304" t="s">
        <v>486</v>
      </c>
      <c r="H239" s="280" t="s">
        <v>487</v>
      </c>
      <c r="I239" s="304" t="s">
        <v>486</v>
      </c>
      <c r="J239" s="280" t="s">
        <v>487</v>
      </c>
      <c r="K239" s="304" t="s">
        <v>486</v>
      </c>
      <c r="L239" s="280" t="s">
        <v>487</v>
      </c>
      <c r="M239" s="304" t="s">
        <v>486</v>
      </c>
      <c r="N239" s="280" t="s">
        <v>487</v>
      </c>
      <c r="O239" s="304" t="s">
        <v>486</v>
      </c>
      <c r="P239" s="280" t="s">
        <v>487</v>
      </c>
      <c r="Q239" s="304" t="s">
        <v>486</v>
      </c>
      <c r="R239" s="280" t="s">
        <v>487</v>
      </c>
      <c r="S239" s="304" t="s">
        <v>486</v>
      </c>
      <c r="T239" s="280" t="s">
        <v>487</v>
      </c>
      <c r="U239" s="304" t="s">
        <v>486</v>
      </c>
      <c r="V239" s="280" t="s">
        <v>487</v>
      </c>
      <c r="W239" s="304" t="s">
        <v>486</v>
      </c>
      <c r="X239" s="280" t="s">
        <v>487</v>
      </c>
      <c r="Y239" s="304" t="s">
        <v>486</v>
      </c>
      <c r="Z239" s="314" t="s">
        <v>487</v>
      </c>
    </row>
    <row r="240" spans="1:26" x14ac:dyDescent="0.2">
      <c r="A240" s="699"/>
      <c r="B240" s="316" t="s">
        <v>289</v>
      </c>
      <c r="C240" s="372"/>
      <c r="D240" s="381"/>
      <c r="E240" s="372"/>
      <c r="F240" s="381"/>
      <c r="G240" s="317">
        <f>'6 Oversikt startpunkt'!D91</f>
        <v>15</v>
      </c>
      <c r="H240" s="231">
        <f>'3 Byggeår'!G83</f>
        <v>8</v>
      </c>
      <c r="I240" s="317">
        <f>'6 Oversikt startpunkt'!E91</f>
        <v>15</v>
      </c>
      <c r="J240" s="231">
        <f>'3 Byggeår'!H83</f>
        <v>8</v>
      </c>
      <c r="K240" s="317">
        <f>'6 Oversikt startpunkt'!F91</f>
        <v>18.75</v>
      </c>
      <c r="L240" s="231">
        <f>'3 Byggeår'!I83</f>
        <v>10</v>
      </c>
      <c r="M240" s="317">
        <f>'6 Oversikt startpunkt'!G91</f>
        <v>15</v>
      </c>
      <c r="N240" s="231">
        <f>'3 Byggeår'!J83</f>
        <v>8</v>
      </c>
      <c r="O240" s="317">
        <f>'6 Oversikt startpunkt'!H91</f>
        <v>15</v>
      </c>
      <c r="P240" s="231">
        <f>'3 Byggeår'!K83</f>
        <v>8</v>
      </c>
      <c r="Q240" s="317">
        <f>'6 Oversikt startpunkt'!I91</f>
        <v>15</v>
      </c>
      <c r="R240" s="231">
        <f>'3 Byggeår'!L83</f>
        <v>8</v>
      </c>
      <c r="S240" s="317">
        <f>'6 Oversikt startpunkt'!J91</f>
        <v>15</v>
      </c>
      <c r="T240" s="231">
        <f>'3 Byggeår'!M83</f>
        <v>8</v>
      </c>
      <c r="U240" s="317">
        <f>'6 Oversikt startpunkt'!K91</f>
        <v>15</v>
      </c>
      <c r="V240" s="231">
        <f>'3 Byggeår'!N83</f>
        <v>8</v>
      </c>
      <c r="W240" s="317">
        <f>'6 Oversikt startpunkt'!L91</f>
        <v>28.125</v>
      </c>
      <c r="X240" s="231">
        <f>'3 Byggeår'!O83</f>
        <v>15</v>
      </c>
      <c r="Y240" s="317">
        <f>'6 Oversikt startpunkt'!M91</f>
        <v>15</v>
      </c>
      <c r="Z240" s="299">
        <f>'3 Byggeår'!P83</f>
        <v>8</v>
      </c>
    </row>
    <row r="241" spans="1:26" s="216" customFormat="1" x14ac:dyDescent="0.2">
      <c r="A241" s="699"/>
      <c r="B241" s="288" t="s">
        <v>490</v>
      </c>
      <c r="C241" s="353"/>
      <c r="D241" s="374"/>
      <c r="E241" s="353"/>
      <c r="F241" s="354"/>
      <c r="G241" s="292" t="s">
        <v>372</v>
      </c>
      <c r="H241" s="290" t="s">
        <v>397</v>
      </c>
      <c r="I241" s="289" t="s">
        <v>372</v>
      </c>
      <c r="J241" s="291" t="s">
        <v>397</v>
      </c>
      <c r="K241" s="292" t="s">
        <v>372</v>
      </c>
      <c r="L241" s="290" t="s">
        <v>397</v>
      </c>
      <c r="M241" s="289" t="s">
        <v>372</v>
      </c>
      <c r="N241" s="290" t="s">
        <v>397</v>
      </c>
      <c r="O241" s="289" t="s">
        <v>372</v>
      </c>
      <c r="P241" s="290" t="s">
        <v>397</v>
      </c>
      <c r="Q241" s="289" t="s">
        <v>372</v>
      </c>
      <c r="R241" s="290" t="s">
        <v>397</v>
      </c>
      <c r="S241" s="289" t="s">
        <v>372</v>
      </c>
      <c r="T241" s="290" t="s">
        <v>397</v>
      </c>
      <c r="U241" s="289" t="s">
        <v>372</v>
      </c>
      <c r="V241" s="290" t="s">
        <v>397</v>
      </c>
      <c r="W241" s="289" t="s">
        <v>372</v>
      </c>
      <c r="X241" s="290" t="s">
        <v>397</v>
      </c>
      <c r="Y241" s="289" t="s">
        <v>372</v>
      </c>
      <c r="Z241" s="291" t="s">
        <v>397</v>
      </c>
    </row>
    <row r="242" spans="1:26" x14ac:dyDescent="0.2">
      <c r="A242" s="699"/>
      <c r="B242" s="272" t="s">
        <v>373</v>
      </c>
      <c r="C242" s="355"/>
      <c r="D242" s="375"/>
      <c r="E242" s="355"/>
      <c r="F242" s="376"/>
      <c r="G242" s="285">
        <v>122639</v>
      </c>
      <c r="H242" s="231">
        <v>408.8</v>
      </c>
      <c r="I242" s="230">
        <v>781962</v>
      </c>
      <c r="J242" s="273">
        <v>217.2</v>
      </c>
      <c r="K242" s="285">
        <v>630893</v>
      </c>
      <c r="L242" s="231">
        <v>262.89999999999998</v>
      </c>
      <c r="M242" s="230">
        <v>849308</v>
      </c>
      <c r="N242" s="231">
        <v>235.9</v>
      </c>
      <c r="O242" s="230">
        <v>1163052</v>
      </c>
      <c r="P242" s="231">
        <v>323.10000000000002</v>
      </c>
      <c r="Q242" s="230">
        <v>605879</v>
      </c>
      <c r="R242" s="231">
        <v>252.4</v>
      </c>
      <c r="S242" s="230">
        <v>800362</v>
      </c>
      <c r="T242" s="231">
        <v>333.5</v>
      </c>
      <c r="U242" s="230">
        <v>1304796</v>
      </c>
      <c r="V242" s="231">
        <v>407.7</v>
      </c>
      <c r="W242" s="230">
        <v>1061014</v>
      </c>
      <c r="X242" s="231">
        <v>294.7</v>
      </c>
      <c r="Y242" s="230">
        <v>787729</v>
      </c>
      <c r="Z242" s="273">
        <v>328.2</v>
      </c>
    </row>
    <row r="243" spans="1:26" x14ac:dyDescent="0.2">
      <c r="A243" s="699"/>
      <c r="B243" s="272" t="s">
        <v>374</v>
      </c>
      <c r="C243" s="355"/>
      <c r="D243" s="375"/>
      <c r="E243" s="355"/>
      <c r="F243" s="376"/>
      <c r="G243" s="285">
        <v>20703</v>
      </c>
      <c r="H243" s="231">
        <v>69</v>
      </c>
      <c r="I243" s="230">
        <v>218097</v>
      </c>
      <c r="J243" s="273">
        <v>60.6</v>
      </c>
      <c r="K243" s="285">
        <v>195250</v>
      </c>
      <c r="L243" s="231">
        <v>81.400000000000006</v>
      </c>
      <c r="M243" s="230">
        <v>283727</v>
      </c>
      <c r="N243" s="231">
        <v>78.8</v>
      </c>
      <c r="O243" s="230">
        <v>652136</v>
      </c>
      <c r="P243" s="231">
        <v>181.1</v>
      </c>
      <c r="Q243" s="230">
        <v>432122</v>
      </c>
      <c r="R243" s="231">
        <v>180.1</v>
      </c>
      <c r="S243" s="230">
        <v>253998</v>
      </c>
      <c r="T243" s="231">
        <v>105.8</v>
      </c>
      <c r="U243" s="230">
        <v>276865</v>
      </c>
      <c r="V243" s="231">
        <v>86.5</v>
      </c>
      <c r="W243" s="230">
        <v>494126</v>
      </c>
      <c r="X243" s="231">
        <v>137.30000000000001</v>
      </c>
      <c r="Y243" s="230">
        <v>159632</v>
      </c>
      <c r="Z243" s="273">
        <v>66.5</v>
      </c>
    </row>
    <row r="244" spans="1:26" x14ac:dyDescent="0.2">
      <c r="A244" s="699"/>
      <c r="B244" s="272" t="s">
        <v>375</v>
      </c>
      <c r="C244" s="355"/>
      <c r="D244" s="375"/>
      <c r="E244" s="355"/>
      <c r="F244" s="376"/>
      <c r="G244" s="285">
        <v>3007</v>
      </c>
      <c r="H244" s="231">
        <v>10</v>
      </c>
      <c r="I244" s="230">
        <v>18040</v>
      </c>
      <c r="J244" s="273">
        <v>5</v>
      </c>
      <c r="K244" s="285">
        <v>23530</v>
      </c>
      <c r="L244" s="231">
        <v>9.8000000000000007</v>
      </c>
      <c r="M244" s="230">
        <v>18040</v>
      </c>
      <c r="N244" s="231">
        <v>5</v>
      </c>
      <c r="O244" s="230">
        <v>107170</v>
      </c>
      <c r="P244" s="231">
        <v>29.8</v>
      </c>
      <c r="Q244" s="230">
        <v>71482</v>
      </c>
      <c r="R244" s="231">
        <v>29.8</v>
      </c>
      <c r="S244" s="230">
        <v>71482</v>
      </c>
      <c r="T244" s="231">
        <v>29.8</v>
      </c>
      <c r="U244" s="230">
        <v>156864</v>
      </c>
      <c r="V244" s="231">
        <v>49</v>
      </c>
      <c r="W244" s="230">
        <v>36408</v>
      </c>
      <c r="X244" s="231">
        <v>10.1</v>
      </c>
      <c r="Y244" s="230">
        <v>24054</v>
      </c>
      <c r="Z244" s="273">
        <v>10</v>
      </c>
    </row>
    <row r="245" spans="1:26" x14ac:dyDescent="0.2">
      <c r="A245" s="699"/>
      <c r="B245" s="272" t="s">
        <v>376</v>
      </c>
      <c r="C245" s="355"/>
      <c r="D245" s="375"/>
      <c r="E245" s="355"/>
      <c r="F245" s="376"/>
      <c r="G245" s="285">
        <v>13572</v>
      </c>
      <c r="H245" s="231">
        <v>45.2</v>
      </c>
      <c r="I245" s="230">
        <v>156600</v>
      </c>
      <c r="J245" s="273">
        <v>43.5</v>
      </c>
      <c r="K245" s="285">
        <v>119244</v>
      </c>
      <c r="L245" s="231">
        <v>49.7</v>
      </c>
      <c r="M245" s="230">
        <v>203537</v>
      </c>
      <c r="N245" s="231">
        <v>56.5</v>
      </c>
      <c r="O245" s="230">
        <v>454117</v>
      </c>
      <c r="P245" s="231">
        <v>126.1</v>
      </c>
      <c r="Q245" s="230">
        <v>265534</v>
      </c>
      <c r="R245" s="231">
        <v>110.6</v>
      </c>
      <c r="S245" s="230">
        <v>184952</v>
      </c>
      <c r="T245" s="231">
        <v>77.099999999999994</v>
      </c>
      <c r="U245" s="230">
        <v>137588</v>
      </c>
      <c r="V245" s="231">
        <v>43</v>
      </c>
      <c r="W245" s="230">
        <v>374400</v>
      </c>
      <c r="X245" s="231">
        <v>104</v>
      </c>
      <c r="Y245" s="230">
        <v>116928</v>
      </c>
      <c r="Z245" s="273">
        <v>48.7</v>
      </c>
    </row>
    <row r="246" spans="1:26" x14ac:dyDescent="0.2">
      <c r="A246" s="699"/>
      <c r="B246" s="272" t="s">
        <v>377</v>
      </c>
      <c r="C246" s="355"/>
      <c r="D246" s="375"/>
      <c r="E246" s="355"/>
      <c r="F246" s="376"/>
      <c r="G246" s="285">
        <v>585</v>
      </c>
      <c r="H246" s="231">
        <v>2</v>
      </c>
      <c r="I246" s="230">
        <v>8782</v>
      </c>
      <c r="J246" s="273">
        <v>2.4</v>
      </c>
      <c r="K246" s="285">
        <v>4635</v>
      </c>
      <c r="L246" s="231">
        <v>1.9</v>
      </c>
      <c r="M246" s="230">
        <v>10154</v>
      </c>
      <c r="N246" s="231">
        <v>2.8</v>
      </c>
      <c r="O246" s="230">
        <v>12364</v>
      </c>
      <c r="P246" s="231">
        <v>3.4</v>
      </c>
      <c r="Q246" s="230">
        <v>3861</v>
      </c>
      <c r="R246" s="231">
        <v>1.6</v>
      </c>
      <c r="S246" s="230">
        <v>7302</v>
      </c>
      <c r="T246" s="231">
        <v>3</v>
      </c>
      <c r="U246" s="230">
        <v>6242</v>
      </c>
      <c r="V246" s="231">
        <v>2</v>
      </c>
      <c r="W246" s="230">
        <v>14234</v>
      </c>
      <c r="X246" s="231">
        <v>4</v>
      </c>
      <c r="Y246" s="230">
        <v>7100</v>
      </c>
      <c r="Z246" s="273">
        <v>3</v>
      </c>
    </row>
    <row r="247" spans="1:26" x14ac:dyDescent="0.2">
      <c r="A247" s="699"/>
      <c r="B247" s="272" t="s">
        <v>378</v>
      </c>
      <c r="C247" s="355"/>
      <c r="D247" s="375"/>
      <c r="E247" s="355"/>
      <c r="F247" s="376"/>
      <c r="G247" s="285">
        <v>8143</v>
      </c>
      <c r="H247" s="231">
        <v>27.1</v>
      </c>
      <c r="I247" s="230">
        <v>112752</v>
      </c>
      <c r="J247" s="273">
        <v>31.3</v>
      </c>
      <c r="K247" s="285">
        <v>67080</v>
      </c>
      <c r="L247" s="231">
        <v>27.9</v>
      </c>
      <c r="M247" s="230">
        <v>112752</v>
      </c>
      <c r="N247" s="231">
        <v>31.3</v>
      </c>
      <c r="O247" s="230">
        <v>199728</v>
      </c>
      <c r="P247" s="231">
        <v>55.5</v>
      </c>
      <c r="Q247" s="230">
        <v>133152</v>
      </c>
      <c r="R247" s="231">
        <v>55.5</v>
      </c>
      <c r="S247" s="230">
        <v>133152</v>
      </c>
      <c r="T247" s="231">
        <v>55.5</v>
      </c>
      <c r="U247" s="230">
        <v>82560</v>
      </c>
      <c r="V247" s="231">
        <v>25.8</v>
      </c>
      <c r="W247" s="230">
        <v>252775</v>
      </c>
      <c r="X247" s="231">
        <v>70.2</v>
      </c>
      <c r="Y247" s="230">
        <v>70157</v>
      </c>
      <c r="Z247" s="273">
        <v>29.2</v>
      </c>
    </row>
    <row r="248" spans="1:26" x14ac:dyDescent="0.2">
      <c r="A248" s="699"/>
      <c r="B248" s="272" t="s">
        <v>379</v>
      </c>
      <c r="C248" s="355"/>
      <c r="D248" s="375"/>
      <c r="E248" s="355"/>
      <c r="F248" s="376"/>
      <c r="G248" s="285">
        <v>2036</v>
      </c>
      <c r="H248" s="231">
        <v>6.8</v>
      </c>
      <c r="I248" s="230">
        <v>155070</v>
      </c>
      <c r="J248" s="273">
        <v>43.1</v>
      </c>
      <c r="K248" s="285">
        <v>40248</v>
      </c>
      <c r="L248" s="231">
        <v>16.8</v>
      </c>
      <c r="M248" s="230">
        <v>155070</v>
      </c>
      <c r="N248" s="231">
        <v>43.1</v>
      </c>
      <c r="O248" s="230">
        <v>199728</v>
      </c>
      <c r="P248" s="231">
        <v>55.5</v>
      </c>
      <c r="Q248" s="230">
        <v>66576</v>
      </c>
      <c r="R248" s="231">
        <v>27.7</v>
      </c>
      <c r="S248" s="230">
        <v>16644</v>
      </c>
      <c r="T248" s="231">
        <v>6.9</v>
      </c>
      <c r="U248" s="230">
        <v>10320</v>
      </c>
      <c r="V248" s="231">
        <v>3.2</v>
      </c>
      <c r="W248" s="230">
        <v>16848</v>
      </c>
      <c r="X248" s="231">
        <v>4.7</v>
      </c>
      <c r="Y248" s="230">
        <v>8770</v>
      </c>
      <c r="Z248" s="273">
        <v>3.7</v>
      </c>
    </row>
    <row r="249" spans="1:26" x14ac:dyDescent="0.2">
      <c r="A249" s="699"/>
      <c r="B249" s="272" t="s">
        <v>380</v>
      </c>
      <c r="C249" s="355"/>
      <c r="D249" s="375"/>
      <c r="E249" s="377"/>
      <c r="F249" s="376"/>
      <c r="G249" s="285">
        <v>0</v>
      </c>
      <c r="H249" s="231">
        <v>0</v>
      </c>
      <c r="I249" s="230">
        <v>0</v>
      </c>
      <c r="J249" s="273">
        <v>0</v>
      </c>
      <c r="K249" s="285">
        <v>0</v>
      </c>
      <c r="L249" s="231">
        <v>0</v>
      </c>
      <c r="M249" s="230">
        <v>0</v>
      </c>
      <c r="N249" s="231">
        <v>0</v>
      </c>
      <c r="O249" s="230">
        <v>0</v>
      </c>
      <c r="P249" s="231">
        <v>0</v>
      </c>
      <c r="Q249" s="230">
        <v>0</v>
      </c>
      <c r="R249" s="231">
        <v>0</v>
      </c>
      <c r="S249" s="230">
        <v>0</v>
      </c>
      <c r="T249" s="231">
        <v>0</v>
      </c>
      <c r="U249" s="230">
        <v>0</v>
      </c>
      <c r="V249" s="231">
        <v>0</v>
      </c>
      <c r="W249" s="230">
        <v>0</v>
      </c>
      <c r="X249" s="231">
        <v>0</v>
      </c>
      <c r="Y249" s="230">
        <v>0</v>
      </c>
      <c r="Z249" s="273">
        <v>0</v>
      </c>
    </row>
    <row r="250" spans="1:26" x14ac:dyDescent="0.2">
      <c r="A250" s="699"/>
      <c r="B250" s="272" t="s">
        <v>381</v>
      </c>
      <c r="C250" s="355"/>
      <c r="D250" s="375"/>
      <c r="E250" s="377"/>
      <c r="F250" s="376"/>
      <c r="G250" s="285">
        <v>0</v>
      </c>
      <c r="H250" s="231">
        <v>0</v>
      </c>
      <c r="I250" s="230">
        <v>27840</v>
      </c>
      <c r="J250" s="273">
        <v>7.7</v>
      </c>
      <c r="K250" s="285">
        <v>0</v>
      </c>
      <c r="L250" s="231">
        <v>0</v>
      </c>
      <c r="M250" s="230">
        <v>35848</v>
      </c>
      <c r="N250" s="231">
        <v>10</v>
      </c>
      <c r="O250" s="230">
        <v>68351</v>
      </c>
      <c r="P250" s="231">
        <v>19</v>
      </c>
      <c r="Q250" s="230">
        <v>0</v>
      </c>
      <c r="R250" s="231">
        <v>0</v>
      </c>
      <c r="S250" s="230">
        <v>29653</v>
      </c>
      <c r="T250" s="231">
        <v>12.4</v>
      </c>
      <c r="U250" s="230">
        <v>0</v>
      </c>
      <c r="V250" s="231">
        <v>0</v>
      </c>
      <c r="W250" s="230">
        <v>70164</v>
      </c>
      <c r="X250" s="231">
        <v>19.5</v>
      </c>
      <c r="Y250" s="230">
        <v>22221</v>
      </c>
      <c r="Z250" s="273">
        <v>9.3000000000000007</v>
      </c>
    </row>
    <row r="251" spans="1:26" s="20" customFormat="1" x14ac:dyDescent="0.2">
      <c r="A251" s="699"/>
      <c r="B251" s="274" t="s">
        <v>382</v>
      </c>
      <c r="C251" s="357"/>
      <c r="D251" s="378"/>
      <c r="E251" s="357"/>
      <c r="F251" s="379"/>
      <c r="G251" s="286">
        <v>170685</v>
      </c>
      <c r="H251" s="276">
        <v>568.9</v>
      </c>
      <c r="I251" s="275">
        <v>1479142</v>
      </c>
      <c r="J251" s="279">
        <v>410.9</v>
      </c>
      <c r="K251" s="286">
        <v>1080880</v>
      </c>
      <c r="L251" s="276">
        <v>450.4</v>
      </c>
      <c r="M251" s="275">
        <v>1668436</v>
      </c>
      <c r="N251" s="276">
        <v>463.5</v>
      </c>
      <c r="O251" s="275">
        <v>2856646</v>
      </c>
      <c r="P251" s="276">
        <v>793.5</v>
      </c>
      <c r="Q251" s="275">
        <v>1578606</v>
      </c>
      <c r="R251" s="276">
        <v>657.8</v>
      </c>
      <c r="S251" s="275">
        <v>1497545</v>
      </c>
      <c r="T251" s="276">
        <v>624</v>
      </c>
      <c r="U251" s="275">
        <v>1975235</v>
      </c>
      <c r="V251" s="276">
        <v>617.29999999999995</v>
      </c>
      <c r="W251" s="275">
        <v>2319969</v>
      </c>
      <c r="X251" s="276">
        <v>644.4</v>
      </c>
      <c r="Y251" s="275">
        <v>1196589</v>
      </c>
      <c r="Z251" s="279">
        <v>498.6</v>
      </c>
    </row>
    <row r="252" spans="1:26" s="216" customFormat="1" x14ac:dyDescent="0.2">
      <c r="A252" s="699"/>
      <c r="B252" s="283" t="s">
        <v>491</v>
      </c>
      <c r="C252" s="353"/>
      <c r="D252" s="354"/>
      <c r="E252" s="353"/>
      <c r="F252" s="354"/>
      <c r="G252" s="289" t="s">
        <v>372</v>
      </c>
      <c r="H252" s="291" t="s">
        <v>397</v>
      </c>
      <c r="I252" s="289" t="s">
        <v>372</v>
      </c>
      <c r="J252" s="291" t="s">
        <v>397</v>
      </c>
      <c r="K252" s="289" t="s">
        <v>372</v>
      </c>
      <c r="L252" s="291" t="s">
        <v>397</v>
      </c>
      <c r="M252" s="289" t="s">
        <v>372</v>
      </c>
      <c r="N252" s="291" t="s">
        <v>397</v>
      </c>
      <c r="O252" s="289" t="s">
        <v>372</v>
      </c>
      <c r="P252" s="291" t="s">
        <v>397</v>
      </c>
      <c r="Q252" s="289" t="s">
        <v>372</v>
      </c>
      <c r="R252" s="291" t="s">
        <v>397</v>
      </c>
      <c r="S252" s="289" t="s">
        <v>372</v>
      </c>
      <c r="T252" s="291" t="s">
        <v>397</v>
      </c>
      <c r="U252" s="289" t="s">
        <v>372</v>
      </c>
      <c r="V252" s="291" t="s">
        <v>397</v>
      </c>
      <c r="W252" s="289" t="s">
        <v>372</v>
      </c>
      <c r="X252" s="291" t="s">
        <v>397</v>
      </c>
      <c r="Y252" s="289" t="s">
        <v>372</v>
      </c>
      <c r="Z252" s="291" t="s">
        <v>397</v>
      </c>
    </row>
    <row r="253" spans="1:26" x14ac:dyDescent="0.2">
      <c r="A253" s="699"/>
      <c r="B253" s="272" t="s">
        <v>373</v>
      </c>
      <c r="C253" s="355"/>
      <c r="D253" s="356"/>
      <c r="E253" s="355"/>
      <c r="F253" s="356"/>
      <c r="G253" s="230">
        <f t="shared" ref="G253:Z253" si="82">G$6-G242</f>
        <v>-6018</v>
      </c>
      <c r="H253" s="293">
        <f t="shared" si="82"/>
        <v>-20.100000000000023</v>
      </c>
      <c r="I253" s="230">
        <f t="shared" si="82"/>
        <v>-86254</v>
      </c>
      <c r="J253" s="293">
        <f t="shared" si="82"/>
        <v>-23.899999999999977</v>
      </c>
      <c r="K253" s="230">
        <f t="shared" si="82"/>
        <v>-49675</v>
      </c>
      <c r="L253" s="293">
        <f t="shared" si="82"/>
        <v>-20.699999999999989</v>
      </c>
      <c r="M253" s="230">
        <f t="shared" si="82"/>
        <v>-88440</v>
      </c>
      <c r="N253" s="293">
        <f t="shared" si="82"/>
        <v>-24.5</v>
      </c>
      <c r="O253" s="230">
        <f t="shared" si="82"/>
        <v>-159290</v>
      </c>
      <c r="P253" s="293">
        <f t="shared" si="82"/>
        <v>-44.300000000000011</v>
      </c>
      <c r="Q253" s="230">
        <f t="shared" si="82"/>
        <v>-100523</v>
      </c>
      <c r="R253" s="293">
        <f t="shared" si="82"/>
        <v>-41.800000000000011</v>
      </c>
      <c r="S253" s="230">
        <f t="shared" si="82"/>
        <v>-104088</v>
      </c>
      <c r="T253" s="293">
        <f t="shared" si="82"/>
        <v>-43.399999999999977</v>
      </c>
      <c r="U253" s="230">
        <f t="shared" si="82"/>
        <v>-60394</v>
      </c>
      <c r="V253" s="293">
        <f t="shared" si="82"/>
        <v>-18.800000000000011</v>
      </c>
      <c r="W253" s="230">
        <f t="shared" si="82"/>
        <v>-199144</v>
      </c>
      <c r="X253" s="293">
        <f t="shared" si="82"/>
        <v>-55.299999999999983</v>
      </c>
      <c r="Y253" s="230">
        <f t="shared" si="82"/>
        <v>-56418</v>
      </c>
      <c r="Z253" s="293">
        <f t="shared" si="82"/>
        <v>-23.5</v>
      </c>
    </row>
    <row r="254" spans="1:26" x14ac:dyDescent="0.2">
      <c r="A254" s="699"/>
      <c r="B254" s="272" t="s">
        <v>374</v>
      </c>
      <c r="C254" s="355"/>
      <c r="D254" s="356"/>
      <c r="E254" s="355"/>
      <c r="F254" s="356"/>
      <c r="G254" s="230">
        <f t="shared" ref="G254:Z254" si="83">G$7-G243</f>
        <v>-10</v>
      </c>
      <c r="H254" s="293">
        <f t="shared" si="83"/>
        <v>0</v>
      </c>
      <c r="I254" s="230">
        <f t="shared" si="83"/>
        <v>-479</v>
      </c>
      <c r="J254" s="293">
        <f t="shared" si="83"/>
        <v>-0.20000000000000284</v>
      </c>
      <c r="K254" s="230">
        <f t="shared" si="83"/>
        <v>-466</v>
      </c>
      <c r="L254" s="293">
        <f t="shared" si="83"/>
        <v>-0.20000000000000284</v>
      </c>
      <c r="M254" s="230">
        <f t="shared" si="83"/>
        <v>-288</v>
      </c>
      <c r="N254" s="293">
        <f t="shared" si="83"/>
        <v>-9.9999999999994316E-2</v>
      </c>
      <c r="O254" s="230">
        <f t="shared" si="83"/>
        <v>-106</v>
      </c>
      <c r="P254" s="293">
        <f t="shared" si="83"/>
        <v>0</v>
      </c>
      <c r="Q254" s="230">
        <f t="shared" si="83"/>
        <v>-689</v>
      </c>
      <c r="R254" s="293">
        <f t="shared" si="83"/>
        <v>-0.29999999999998295</v>
      </c>
      <c r="S254" s="230">
        <f t="shared" si="83"/>
        <v>-11</v>
      </c>
      <c r="T254" s="293">
        <f t="shared" si="83"/>
        <v>0</v>
      </c>
      <c r="U254" s="230">
        <f t="shared" si="83"/>
        <v>-241</v>
      </c>
      <c r="V254" s="293">
        <f t="shared" si="83"/>
        <v>-9.9999999999994316E-2</v>
      </c>
      <c r="W254" s="230">
        <f t="shared" si="83"/>
        <v>-374</v>
      </c>
      <c r="X254" s="293">
        <f t="shared" si="83"/>
        <v>-0.10000000000002274</v>
      </c>
      <c r="Y254" s="230">
        <f t="shared" si="83"/>
        <v>-1</v>
      </c>
      <c r="Z254" s="293">
        <f t="shared" si="83"/>
        <v>0</v>
      </c>
    </row>
    <row r="255" spans="1:26" x14ac:dyDescent="0.2">
      <c r="A255" s="699"/>
      <c r="B255" s="272" t="s">
        <v>375</v>
      </c>
      <c r="C255" s="355"/>
      <c r="D255" s="356"/>
      <c r="E255" s="355"/>
      <c r="F255" s="356"/>
      <c r="G255" s="230">
        <f t="shared" ref="G255:Z255" si="84">G$8-G244</f>
        <v>0</v>
      </c>
      <c r="H255" s="293">
        <f t="shared" si="84"/>
        <v>0</v>
      </c>
      <c r="I255" s="230">
        <f t="shared" si="84"/>
        <v>0</v>
      </c>
      <c r="J255" s="293">
        <f t="shared" si="84"/>
        <v>0</v>
      </c>
      <c r="K255" s="230">
        <f t="shared" si="84"/>
        <v>0</v>
      </c>
      <c r="L255" s="293">
        <f t="shared" si="84"/>
        <v>0</v>
      </c>
      <c r="M255" s="230">
        <f t="shared" si="84"/>
        <v>0</v>
      </c>
      <c r="N255" s="293">
        <f t="shared" si="84"/>
        <v>0</v>
      </c>
      <c r="O255" s="230">
        <f t="shared" si="84"/>
        <v>0</v>
      </c>
      <c r="P255" s="293">
        <f t="shared" si="84"/>
        <v>0</v>
      </c>
      <c r="Q255" s="230">
        <f t="shared" si="84"/>
        <v>0</v>
      </c>
      <c r="R255" s="293">
        <f t="shared" si="84"/>
        <v>0</v>
      </c>
      <c r="S255" s="230">
        <f t="shared" si="84"/>
        <v>0</v>
      </c>
      <c r="T255" s="293">
        <f t="shared" si="84"/>
        <v>0</v>
      </c>
      <c r="U255" s="230">
        <f t="shared" si="84"/>
        <v>0</v>
      </c>
      <c r="V255" s="293">
        <f t="shared" si="84"/>
        <v>0</v>
      </c>
      <c r="W255" s="230">
        <f t="shared" si="84"/>
        <v>0</v>
      </c>
      <c r="X255" s="293">
        <f t="shared" si="84"/>
        <v>0</v>
      </c>
      <c r="Y255" s="230">
        <f t="shared" si="84"/>
        <v>0</v>
      </c>
      <c r="Z255" s="293">
        <f t="shared" si="84"/>
        <v>0</v>
      </c>
    </row>
    <row r="256" spans="1:26" x14ac:dyDescent="0.2">
      <c r="A256" s="699"/>
      <c r="B256" s="272" t="s">
        <v>376</v>
      </c>
      <c r="C256" s="355"/>
      <c r="D256" s="356"/>
      <c r="E256" s="355"/>
      <c r="F256" s="356"/>
      <c r="G256" s="230">
        <f t="shared" ref="G256:Z256" si="85">G$9-G245</f>
        <v>0</v>
      </c>
      <c r="H256" s="293">
        <f t="shared" si="85"/>
        <v>0</v>
      </c>
      <c r="I256" s="230">
        <f t="shared" si="85"/>
        <v>0</v>
      </c>
      <c r="J256" s="293">
        <f t="shared" si="85"/>
        <v>0</v>
      </c>
      <c r="K256" s="230">
        <f t="shared" si="85"/>
        <v>0</v>
      </c>
      <c r="L256" s="293">
        <f t="shared" si="85"/>
        <v>0</v>
      </c>
      <c r="M256" s="230">
        <f t="shared" si="85"/>
        <v>0</v>
      </c>
      <c r="N256" s="293">
        <f t="shared" si="85"/>
        <v>0</v>
      </c>
      <c r="O256" s="230">
        <f t="shared" si="85"/>
        <v>0</v>
      </c>
      <c r="P256" s="293">
        <f t="shared" si="85"/>
        <v>0</v>
      </c>
      <c r="Q256" s="230">
        <f t="shared" si="85"/>
        <v>0</v>
      </c>
      <c r="R256" s="293">
        <f t="shared" si="85"/>
        <v>0</v>
      </c>
      <c r="S256" s="230">
        <f t="shared" si="85"/>
        <v>0</v>
      </c>
      <c r="T256" s="293">
        <f t="shared" si="85"/>
        <v>0</v>
      </c>
      <c r="U256" s="230">
        <f t="shared" si="85"/>
        <v>0</v>
      </c>
      <c r="V256" s="293">
        <f t="shared" si="85"/>
        <v>0</v>
      </c>
      <c r="W256" s="230">
        <f t="shared" si="85"/>
        <v>0</v>
      </c>
      <c r="X256" s="293">
        <f t="shared" si="85"/>
        <v>0</v>
      </c>
      <c r="Y256" s="230">
        <f t="shared" si="85"/>
        <v>0</v>
      </c>
      <c r="Z256" s="293">
        <f t="shared" si="85"/>
        <v>0</v>
      </c>
    </row>
    <row r="257" spans="1:26" x14ac:dyDescent="0.2">
      <c r="A257" s="699"/>
      <c r="B257" s="272" t="s">
        <v>377</v>
      </c>
      <c r="C257" s="355"/>
      <c r="D257" s="356"/>
      <c r="E257" s="355"/>
      <c r="F257" s="356"/>
      <c r="G257" s="230">
        <f t="shared" ref="G257:Z257" si="86">G$10-G246</f>
        <v>0</v>
      </c>
      <c r="H257" s="293">
        <f t="shared" si="86"/>
        <v>0</v>
      </c>
      <c r="I257" s="230">
        <f t="shared" si="86"/>
        <v>0</v>
      </c>
      <c r="J257" s="293">
        <f t="shared" si="86"/>
        <v>0</v>
      </c>
      <c r="K257" s="230">
        <f t="shared" si="86"/>
        <v>0</v>
      </c>
      <c r="L257" s="293">
        <f t="shared" si="86"/>
        <v>0</v>
      </c>
      <c r="M257" s="230">
        <f t="shared" si="86"/>
        <v>-117</v>
      </c>
      <c r="N257" s="293">
        <f t="shared" si="86"/>
        <v>0</v>
      </c>
      <c r="O257" s="230">
        <f t="shared" si="86"/>
        <v>-128</v>
      </c>
      <c r="P257" s="293">
        <f t="shared" si="86"/>
        <v>0</v>
      </c>
      <c r="Q257" s="230">
        <f t="shared" si="86"/>
        <v>-182</v>
      </c>
      <c r="R257" s="293">
        <f t="shared" si="86"/>
        <v>-0.10000000000000009</v>
      </c>
      <c r="S257" s="230">
        <f t="shared" si="86"/>
        <v>-178</v>
      </c>
      <c r="T257" s="293">
        <f t="shared" si="86"/>
        <v>0</v>
      </c>
      <c r="U257" s="230">
        <f t="shared" si="86"/>
        <v>0</v>
      </c>
      <c r="V257" s="293">
        <f t="shared" si="86"/>
        <v>0</v>
      </c>
      <c r="W257" s="230">
        <f t="shared" si="86"/>
        <v>-199</v>
      </c>
      <c r="X257" s="293">
        <f t="shared" si="86"/>
        <v>-0.10000000000000009</v>
      </c>
      <c r="Y257" s="230">
        <f t="shared" si="86"/>
        <v>-120</v>
      </c>
      <c r="Z257" s="293">
        <f t="shared" si="86"/>
        <v>-0.10000000000000009</v>
      </c>
    </row>
    <row r="258" spans="1:26" x14ac:dyDescent="0.2">
      <c r="A258" s="699"/>
      <c r="B258" s="272" t="s">
        <v>378</v>
      </c>
      <c r="C258" s="355"/>
      <c r="D258" s="356"/>
      <c r="E258" s="355"/>
      <c r="F258" s="356"/>
      <c r="G258" s="230">
        <f t="shared" ref="G258:Z258" si="87">G$11-G247</f>
        <v>7126</v>
      </c>
      <c r="H258" s="293">
        <f t="shared" si="87"/>
        <v>23.799999999999997</v>
      </c>
      <c r="I258" s="230">
        <f t="shared" si="87"/>
        <v>98701</v>
      </c>
      <c r="J258" s="293">
        <f t="shared" si="87"/>
        <v>27.400000000000002</v>
      </c>
      <c r="K258" s="230">
        <f t="shared" si="87"/>
        <v>58679</v>
      </c>
      <c r="L258" s="293">
        <f t="shared" si="87"/>
        <v>24.5</v>
      </c>
      <c r="M258" s="230">
        <f t="shared" si="87"/>
        <v>98701</v>
      </c>
      <c r="N258" s="293">
        <f t="shared" si="87"/>
        <v>27.400000000000002</v>
      </c>
      <c r="O258" s="230">
        <f t="shared" si="87"/>
        <v>174853</v>
      </c>
      <c r="P258" s="293">
        <f t="shared" si="87"/>
        <v>48.599999999999994</v>
      </c>
      <c r="Q258" s="230">
        <f t="shared" si="87"/>
        <v>116405</v>
      </c>
      <c r="R258" s="293">
        <f t="shared" si="87"/>
        <v>48.5</v>
      </c>
      <c r="S258" s="230">
        <f t="shared" si="87"/>
        <v>116405</v>
      </c>
      <c r="T258" s="293">
        <f t="shared" si="87"/>
        <v>48.5</v>
      </c>
      <c r="U258" s="230">
        <f t="shared" si="87"/>
        <v>72240</v>
      </c>
      <c r="V258" s="293">
        <f t="shared" si="87"/>
        <v>22.599999999999998</v>
      </c>
      <c r="W258" s="230">
        <f t="shared" si="87"/>
        <v>221098</v>
      </c>
      <c r="X258" s="293">
        <f t="shared" si="87"/>
        <v>61.399999999999991</v>
      </c>
      <c r="Y258" s="230">
        <f t="shared" si="87"/>
        <v>61387</v>
      </c>
      <c r="Z258" s="293">
        <f t="shared" si="87"/>
        <v>25.599999999999998</v>
      </c>
    </row>
    <row r="259" spans="1:26" x14ac:dyDescent="0.2">
      <c r="A259" s="699"/>
      <c r="B259" s="272" t="s">
        <v>379</v>
      </c>
      <c r="C259" s="355"/>
      <c r="D259" s="356"/>
      <c r="E259" s="355"/>
      <c r="F259" s="356"/>
      <c r="G259" s="230">
        <f t="shared" ref="G259:Z259" si="88">G$12-G248</f>
        <v>0</v>
      </c>
      <c r="H259" s="293">
        <f t="shared" si="88"/>
        <v>0</v>
      </c>
      <c r="I259" s="230">
        <f t="shared" si="88"/>
        <v>0</v>
      </c>
      <c r="J259" s="293">
        <f t="shared" si="88"/>
        <v>0</v>
      </c>
      <c r="K259" s="230">
        <f t="shared" si="88"/>
        <v>0</v>
      </c>
      <c r="L259" s="293">
        <f t="shared" si="88"/>
        <v>0</v>
      </c>
      <c r="M259" s="230">
        <f t="shared" si="88"/>
        <v>0</v>
      </c>
      <c r="N259" s="293">
        <f t="shared" si="88"/>
        <v>0</v>
      </c>
      <c r="O259" s="230">
        <f t="shared" si="88"/>
        <v>0</v>
      </c>
      <c r="P259" s="293">
        <f t="shared" si="88"/>
        <v>0</v>
      </c>
      <c r="Q259" s="230">
        <f t="shared" si="88"/>
        <v>0</v>
      </c>
      <c r="R259" s="293">
        <f t="shared" si="88"/>
        <v>0</v>
      </c>
      <c r="S259" s="230">
        <f t="shared" si="88"/>
        <v>0</v>
      </c>
      <c r="T259" s="293">
        <f t="shared" si="88"/>
        <v>0</v>
      </c>
      <c r="U259" s="230">
        <f t="shared" si="88"/>
        <v>0</v>
      </c>
      <c r="V259" s="293">
        <f t="shared" si="88"/>
        <v>0</v>
      </c>
      <c r="W259" s="230">
        <f t="shared" si="88"/>
        <v>0</v>
      </c>
      <c r="X259" s="293">
        <f t="shared" si="88"/>
        <v>0</v>
      </c>
      <c r="Y259" s="230">
        <f t="shared" si="88"/>
        <v>0</v>
      </c>
      <c r="Z259" s="293">
        <f t="shared" si="88"/>
        <v>0</v>
      </c>
    </row>
    <row r="260" spans="1:26" x14ac:dyDescent="0.2">
      <c r="A260" s="699"/>
      <c r="B260" s="272" t="s">
        <v>380</v>
      </c>
      <c r="C260" s="355"/>
      <c r="D260" s="356"/>
      <c r="E260" s="355"/>
      <c r="F260" s="356"/>
      <c r="G260" s="230">
        <f t="shared" ref="G260:Z260" si="89">G$13-G249</f>
        <v>0</v>
      </c>
      <c r="H260" s="293">
        <f t="shared" si="89"/>
        <v>0</v>
      </c>
      <c r="I260" s="230">
        <f t="shared" si="89"/>
        <v>0</v>
      </c>
      <c r="J260" s="293">
        <f t="shared" si="89"/>
        <v>0</v>
      </c>
      <c r="K260" s="230">
        <f t="shared" si="89"/>
        <v>0</v>
      </c>
      <c r="L260" s="293">
        <f t="shared" si="89"/>
        <v>0</v>
      </c>
      <c r="M260" s="230">
        <f t="shared" si="89"/>
        <v>0</v>
      </c>
      <c r="N260" s="293">
        <f t="shared" si="89"/>
        <v>0</v>
      </c>
      <c r="O260" s="230">
        <f t="shared" si="89"/>
        <v>0</v>
      </c>
      <c r="P260" s="293">
        <f t="shared" si="89"/>
        <v>0</v>
      </c>
      <c r="Q260" s="230">
        <f t="shared" si="89"/>
        <v>0</v>
      </c>
      <c r="R260" s="293">
        <f t="shared" si="89"/>
        <v>0</v>
      </c>
      <c r="S260" s="230">
        <f t="shared" si="89"/>
        <v>0</v>
      </c>
      <c r="T260" s="293">
        <f t="shared" si="89"/>
        <v>0</v>
      </c>
      <c r="U260" s="230">
        <f t="shared" si="89"/>
        <v>0</v>
      </c>
      <c r="V260" s="293">
        <f t="shared" si="89"/>
        <v>0</v>
      </c>
      <c r="W260" s="230">
        <f t="shared" si="89"/>
        <v>0</v>
      </c>
      <c r="X260" s="293">
        <f t="shared" si="89"/>
        <v>0</v>
      </c>
      <c r="Y260" s="230">
        <f t="shared" si="89"/>
        <v>0</v>
      </c>
      <c r="Z260" s="293">
        <f t="shared" si="89"/>
        <v>0</v>
      </c>
    </row>
    <row r="261" spans="1:26" x14ac:dyDescent="0.2">
      <c r="A261" s="699"/>
      <c r="B261" s="272" t="s">
        <v>381</v>
      </c>
      <c r="C261" s="355"/>
      <c r="D261" s="356"/>
      <c r="E261" s="355"/>
      <c r="F261" s="356"/>
      <c r="G261" s="230">
        <f t="shared" ref="G261:Z261" si="90">G$14-G250</f>
        <v>0</v>
      </c>
      <c r="H261" s="293">
        <f t="shared" si="90"/>
        <v>0</v>
      </c>
      <c r="I261" s="230">
        <f t="shared" si="90"/>
        <v>0</v>
      </c>
      <c r="J261" s="293">
        <f t="shared" si="90"/>
        <v>0</v>
      </c>
      <c r="K261" s="230">
        <f t="shared" si="90"/>
        <v>0</v>
      </c>
      <c r="L261" s="293">
        <f t="shared" si="90"/>
        <v>0</v>
      </c>
      <c r="M261" s="230">
        <f t="shared" si="90"/>
        <v>0</v>
      </c>
      <c r="N261" s="293">
        <f t="shared" si="90"/>
        <v>0</v>
      </c>
      <c r="O261" s="230">
        <f t="shared" si="90"/>
        <v>0</v>
      </c>
      <c r="P261" s="293">
        <f t="shared" si="90"/>
        <v>0</v>
      </c>
      <c r="Q261" s="230">
        <f t="shared" si="90"/>
        <v>0</v>
      </c>
      <c r="R261" s="293">
        <f t="shared" si="90"/>
        <v>0</v>
      </c>
      <c r="S261" s="230">
        <f t="shared" si="90"/>
        <v>0</v>
      </c>
      <c r="T261" s="293">
        <f t="shared" si="90"/>
        <v>0</v>
      </c>
      <c r="U261" s="230">
        <f t="shared" si="90"/>
        <v>0</v>
      </c>
      <c r="V261" s="293">
        <f t="shared" si="90"/>
        <v>0</v>
      </c>
      <c r="W261" s="230">
        <f t="shared" si="90"/>
        <v>0</v>
      </c>
      <c r="X261" s="293">
        <f t="shared" si="90"/>
        <v>0</v>
      </c>
      <c r="Y261" s="230">
        <f t="shared" si="90"/>
        <v>0</v>
      </c>
      <c r="Z261" s="293">
        <f t="shared" si="90"/>
        <v>0</v>
      </c>
    </row>
    <row r="262" spans="1:26" s="20" customFormat="1" x14ac:dyDescent="0.2">
      <c r="A262" s="700"/>
      <c r="B262" s="274" t="s">
        <v>1059</v>
      </c>
      <c r="C262" s="357"/>
      <c r="D262" s="358"/>
      <c r="E262" s="357"/>
      <c r="F262" s="358"/>
      <c r="G262" s="275">
        <f t="shared" ref="G262:V262" si="91">G$15-G251</f>
        <v>1098</v>
      </c>
      <c r="H262" s="294">
        <f t="shared" si="91"/>
        <v>3.7000000000000455</v>
      </c>
      <c r="I262" s="275">
        <f>I258</f>
        <v>98701</v>
      </c>
      <c r="J262" s="294">
        <f>J258</f>
        <v>27.400000000000002</v>
      </c>
      <c r="K262" s="275">
        <f t="shared" si="91"/>
        <v>8536</v>
      </c>
      <c r="L262" s="294">
        <f t="shared" si="91"/>
        <v>3.5</v>
      </c>
      <c r="M262" s="275">
        <f>M258</f>
        <v>98701</v>
      </c>
      <c r="N262" s="294">
        <f>N258</f>
        <v>27.400000000000002</v>
      </c>
      <c r="O262" s="275">
        <f>O258</f>
        <v>174853</v>
      </c>
      <c r="P262" s="294">
        <f>P258</f>
        <v>48.599999999999994</v>
      </c>
      <c r="Q262" s="275">
        <f t="shared" si="91"/>
        <v>15011</v>
      </c>
      <c r="R262" s="294">
        <f t="shared" si="91"/>
        <v>6.2000000000000455</v>
      </c>
      <c r="S262" s="275">
        <f>S258</f>
        <v>116405</v>
      </c>
      <c r="T262" s="294">
        <f>T258</f>
        <v>48.5</v>
      </c>
      <c r="U262" s="275">
        <f t="shared" si="91"/>
        <v>11605</v>
      </c>
      <c r="V262" s="294">
        <f t="shared" si="91"/>
        <v>3.6000000000000227</v>
      </c>
      <c r="W262" s="275">
        <f>W258</f>
        <v>221098</v>
      </c>
      <c r="X262" s="294">
        <f>X258</f>
        <v>61.399999999999991</v>
      </c>
      <c r="Y262" s="275">
        <f>Y258</f>
        <v>61387</v>
      </c>
      <c r="Z262" s="294">
        <f>Z258</f>
        <v>25.599999999999998</v>
      </c>
    </row>
    <row r="263" spans="1:26" s="20" customFormat="1" x14ac:dyDescent="0.2">
      <c r="A263" s="266"/>
      <c r="B263" s="227"/>
      <c r="C263" s="267"/>
      <c r="D263" s="232"/>
      <c r="E263" s="268"/>
      <c r="F263" s="237"/>
      <c r="G263" s="267"/>
      <c r="H263" s="232"/>
      <c r="I263" s="267"/>
      <c r="J263" s="232"/>
      <c r="K263" s="267"/>
      <c r="L263" s="232"/>
      <c r="M263" s="267"/>
      <c r="N263" s="232"/>
      <c r="O263" s="267"/>
      <c r="P263" s="232"/>
      <c r="Q263" s="267"/>
      <c r="R263" s="232"/>
      <c r="S263" s="267"/>
      <c r="T263" s="232"/>
      <c r="U263" s="267"/>
      <c r="V263" s="232"/>
      <c r="W263" s="267"/>
      <c r="X263" s="232"/>
      <c r="Y263" s="267"/>
      <c r="Z263" s="232"/>
    </row>
    <row r="264" spans="1:26" s="202" customFormat="1" ht="13.15" customHeight="1" x14ac:dyDescent="0.2">
      <c r="A264" s="698" t="s">
        <v>578</v>
      </c>
      <c r="B264" s="359" t="s">
        <v>488</v>
      </c>
      <c r="C264" s="368"/>
      <c r="D264" s="369"/>
      <c r="E264" s="368"/>
      <c r="F264" s="369"/>
      <c r="G264" s="304" t="s">
        <v>486</v>
      </c>
      <c r="H264" s="280" t="s">
        <v>487</v>
      </c>
      <c r="I264" s="304" t="s">
        <v>486</v>
      </c>
      <c r="J264" s="280" t="s">
        <v>487</v>
      </c>
      <c r="K264" s="304" t="s">
        <v>486</v>
      </c>
      <c r="L264" s="280" t="s">
        <v>487</v>
      </c>
      <c r="M264" s="304" t="s">
        <v>486</v>
      </c>
      <c r="N264" s="280" t="s">
        <v>487</v>
      </c>
      <c r="O264" s="304" t="s">
        <v>486</v>
      </c>
      <c r="P264" s="280" t="s">
        <v>487</v>
      </c>
      <c r="Q264" s="304" t="s">
        <v>486</v>
      </c>
      <c r="R264" s="280" t="s">
        <v>487</v>
      </c>
      <c r="S264" s="304" t="s">
        <v>486</v>
      </c>
      <c r="T264" s="280" t="s">
        <v>487</v>
      </c>
      <c r="U264" s="304" t="s">
        <v>486</v>
      </c>
      <c r="V264" s="280" t="s">
        <v>487</v>
      </c>
      <c r="W264" s="304" t="s">
        <v>486</v>
      </c>
      <c r="X264" s="280" t="s">
        <v>487</v>
      </c>
      <c r="Y264" s="304" t="s">
        <v>486</v>
      </c>
      <c r="Z264" s="314" t="s">
        <v>487</v>
      </c>
    </row>
    <row r="265" spans="1:26" x14ac:dyDescent="0.2">
      <c r="A265" s="699"/>
      <c r="B265" s="316" t="s">
        <v>289</v>
      </c>
      <c r="C265" s="372"/>
      <c r="D265" s="373"/>
      <c r="E265" s="372"/>
      <c r="F265" s="373"/>
      <c r="G265" s="317">
        <f>'6 Oversikt startpunkt'!D91</f>
        <v>15</v>
      </c>
      <c r="H265" s="402">
        <f>'7 Passivhusnivå'!F40</f>
        <v>5</v>
      </c>
      <c r="I265" s="214">
        <f>'6 Oversikt startpunkt'!E91</f>
        <v>15</v>
      </c>
      <c r="J265" s="214">
        <f>'7 Passivhusnivå'!G40</f>
        <v>4</v>
      </c>
      <c r="K265" s="317">
        <f>'6 Oversikt startpunkt'!F91</f>
        <v>18.75</v>
      </c>
      <c r="L265" s="402">
        <f>'7 Passivhusnivå'!H40</f>
        <v>4.5</v>
      </c>
      <c r="M265" s="214">
        <f>'6 Oversikt startpunkt'!G91</f>
        <v>15</v>
      </c>
      <c r="N265" s="214">
        <f>'7 Passivhusnivå'!I40</f>
        <v>4.5</v>
      </c>
      <c r="O265" s="317">
        <f>'6 Oversikt startpunkt'!H91</f>
        <v>15</v>
      </c>
      <c r="P265" s="402">
        <f>'7 Passivhusnivå'!J40</f>
        <v>5</v>
      </c>
      <c r="Q265" s="214">
        <f>'6 Oversikt startpunkt'!I91</f>
        <v>15</v>
      </c>
      <c r="R265" s="214">
        <f>'7 Passivhusnivå'!K40</f>
        <v>5</v>
      </c>
      <c r="S265" s="317">
        <f>'6 Oversikt startpunkt'!J91</f>
        <v>15</v>
      </c>
      <c r="T265" s="402">
        <f>'7 Passivhusnivå'!L40</f>
        <v>3</v>
      </c>
      <c r="U265" s="214">
        <f>'6 Oversikt startpunkt'!K91</f>
        <v>15</v>
      </c>
      <c r="V265" s="214">
        <f>'7 Passivhusnivå'!M40</f>
        <v>5.5</v>
      </c>
      <c r="W265" s="317">
        <f>'6 Oversikt startpunkt'!L91</f>
        <v>28.125</v>
      </c>
      <c r="X265" s="318">
        <f>'7 Passivhusnivå'!N40</f>
        <v>7.5</v>
      </c>
      <c r="Y265" s="317">
        <f>'6 Oversikt startpunkt'!M91</f>
        <v>15</v>
      </c>
      <c r="Z265" s="402">
        <f>'7 Passivhusnivå'!O40</f>
        <v>6</v>
      </c>
    </row>
    <row r="266" spans="1:26" s="216" customFormat="1" x14ac:dyDescent="0.2">
      <c r="A266" s="699"/>
      <c r="B266" s="360" t="s">
        <v>490</v>
      </c>
      <c r="C266" s="353"/>
      <c r="D266" s="374"/>
      <c r="E266" s="353"/>
      <c r="F266" s="354"/>
      <c r="G266" s="292" t="s">
        <v>372</v>
      </c>
      <c r="H266" s="290" t="s">
        <v>397</v>
      </c>
      <c r="I266" s="289" t="s">
        <v>372</v>
      </c>
      <c r="J266" s="291" t="s">
        <v>397</v>
      </c>
      <c r="K266" s="292" t="s">
        <v>372</v>
      </c>
      <c r="L266" s="290" t="s">
        <v>397</v>
      </c>
      <c r="M266" s="289" t="s">
        <v>372</v>
      </c>
      <c r="N266" s="290" t="s">
        <v>397</v>
      </c>
      <c r="O266" s="289" t="s">
        <v>372</v>
      </c>
      <c r="P266" s="290" t="s">
        <v>397</v>
      </c>
      <c r="Q266" s="289" t="s">
        <v>372</v>
      </c>
      <c r="R266" s="290" t="s">
        <v>397</v>
      </c>
      <c r="S266" s="289" t="s">
        <v>372</v>
      </c>
      <c r="T266" s="290" t="s">
        <v>397</v>
      </c>
      <c r="U266" s="289" t="s">
        <v>372</v>
      </c>
      <c r="V266" s="290" t="s">
        <v>397</v>
      </c>
      <c r="W266" s="289" t="s">
        <v>372</v>
      </c>
      <c r="X266" s="290" t="s">
        <v>397</v>
      </c>
      <c r="Y266" s="289" t="s">
        <v>372</v>
      </c>
      <c r="Z266" s="291" t="s">
        <v>397</v>
      </c>
    </row>
    <row r="267" spans="1:26" x14ac:dyDescent="0.2">
      <c r="A267" s="699"/>
      <c r="B267" s="205" t="s">
        <v>373</v>
      </c>
      <c r="C267" s="355"/>
      <c r="D267" s="375"/>
      <c r="E267" s="355"/>
      <c r="F267" s="376"/>
      <c r="G267" s="285">
        <v>125253</v>
      </c>
      <c r="H267" s="231">
        <v>417.5</v>
      </c>
      <c r="I267" s="230">
        <v>832405</v>
      </c>
      <c r="J267" s="273">
        <v>231.2</v>
      </c>
      <c r="K267" s="285">
        <v>662980</v>
      </c>
      <c r="L267" s="231">
        <v>276.2</v>
      </c>
      <c r="M267" s="230">
        <v>893969</v>
      </c>
      <c r="N267" s="231">
        <v>248.3</v>
      </c>
      <c r="O267" s="230">
        <v>1231529</v>
      </c>
      <c r="P267" s="231">
        <v>342.1</v>
      </c>
      <c r="Q267" s="230">
        <v>650090</v>
      </c>
      <c r="R267" s="231">
        <v>270.89999999999998</v>
      </c>
      <c r="S267" s="230">
        <v>874873</v>
      </c>
      <c r="T267" s="231">
        <v>364.5</v>
      </c>
      <c r="U267" s="230">
        <v>1326479</v>
      </c>
      <c r="V267" s="231">
        <v>414.5</v>
      </c>
      <c r="W267" s="230">
        <v>1175792</v>
      </c>
      <c r="X267" s="231">
        <v>326.60000000000002</v>
      </c>
      <c r="Y267" s="230">
        <v>803864</v>
      </c>
      <c r="Z267" s="273">
        <v>334.9</v>
      </c>
    </row>
    <row r="268" spans="1:26" x14ac:dyDescent="0.2">
      <c r="A268" s="699"/>
      <c r="B268" s="205" t="s">
        <v>374</v>
      </c>
      <c r="C268" s="355"/>
      <c r="D268" s="375"/>
      <c r="E268" s="355"/>
      <c r="F268" s="376"/>
      <c r="G268" s="285">
        <v>20704</v>
      </c>
      <c r="H268" s="231">
        <v>69</v>
      </c>
      <c r="I268" s="230">
        <v>218218</v>
      </c>
      <c r="J268" s="273">
        <v>60.6</v>
      </c>
      <c r="K268" s="285">
        <v>195348</v>
      </c>
      <c r="L268" s="231">
        <v>81.400000000000006</v>
      </c>
      <c r="M268" s="230">
        <v>283768</v>
      </c>
      <c r="N268" s="231">
        <v>78.8</v>
      </c>
      <c r="O268" s="230">
        <v>652147</v>
      </c>
      <c r="P268" s="231">
        <v>181.2</v>
      </c>
      <c r="Q268" s="230">
        <v>432236</v>
      </c>
      <c r="R268" s="231">
        <v>180.1</v>
      </c>
      <c r="S268" s="230">
        <v>253998</v>
      </c>
      <c r="T268" s="231">
        <v>105.8</v>
      </c>
      <c r="U268" s="230">
        <v>276906</v>
      </c>
      <c r="V268" s="231">
        <v>86.5</v>
      </c>
      <c r="W268" s="230">
        <v>494164</v>
      </c>
      <c r="X268" s="231">
        <v>137.30000000000001</v>
      </c>
      <c r="Y268" s="230">
        <v>159632</v>
      </c>
      <c r="Z268" s="273">
        <v>66.5</v>
      </c>
    </row>
    <row r="269" spans="1:26" x14ac:dyDescent="0.2">
      <c r="A269" s="699"/>
      <c r="B269" s="205" t="s">
        <v>375</v>
      </c>
      <c r="C269" s="355"/>
      <c r="D269" s="375"/>
      <c r="E269" s="355"/>
      <c r="F269" s="376"/>
      <c r="G269" s="285">
        <v>3007</v>
      </c>
      <c r="H269" s="231">
        <v>10</v>
      </c>
      <c r="I269" s="230">
        <v>18040</v>
      </c>
      <c r="J269" s="273">
        <v>5</v>
      </c>
      <c r="K269" s="285">
        <v>23530</v>
      </c>
      <c r="L269" s="231">
        <v>9.8000000000000007</v>
      </c>
      <c r="M269" s="230">
        <v>18040</v>
      </c>
      <c r="N269" s="231">
        <v>5</v>
      </c>
      <c r="O269" s="230">
        <v>107170</v>
      </c>
      <c r="P269" s="231">
        <v>29.8</v>
      </c>
      <c r="Q269" s="230">
        <v>71482</v>
      </c>
      <c r="R269" s="231">
        <v>29.8</v>
      </c>
      <c r="S269" s="230">
        <v>71482</v>
      </c>
      <c r="T269" s="231">
        <v>29.8</v>
      </c>
      <c r="U269" s="230">
        <v>156864</v>
      </c>
      <c r="V269" s="231">
        <v>49</v>
      </c>
      <c r="W269" s="230">
        <v>36408</v>
      </c>
      <c r="X269" s="231">
        <v>10.1</v>
      </c>
      <c r="Y269" s="230">
        <v>24054</v>
      </c>
      <c r="Z269" s="273">
        <v>10</v>
      </c>
    </row>
    <row r="270" spans="1:26" x14ac:dyDescent="0.2">
      <c r="A270" s="699"/>
      <c r="B270" s="205" t="s">
        <v>376</v>
      </c>
      <c r="C270" s="355"/>
      <c r="D270" s="375"/>
      <c r="E270" s="355"/>
      <c r="F270" s="376"/>
      <c r="G270" s="285">
        <v>13572</v>
      </c>
      <c r="H270" s="231">
        <v>45.2</v>
      </c>
      <c r="I270" s="230">
        <v>156600</v>
      </c>
      <c r="J270" s="273">
        <v>43.5</v>
      </c>
      <c r="K270" s="285">
        <v>119244</v>
      </c>
      <c r="L270" s="231">
        <v>49.7</v>
      </c>
      <c r="M270" s="230">
        <v>203537</v>
      </c>
      <c r="N270" s="231">
        <v>56.5</v>
      </c>
      <c r="O270" s="230">
        <v>454117</v>
      </c>
      <c r="P270" s="231">
        <v>126.1</v>
      </c>
      <c r="Q270" s="230">
        <v>265534</v>
      </c>
      <c r="R270" s="231">
        <v>110.6</v>
      </c>
      <c r="S270" s="230">
        <v>184952</v>
      </c>
      <c r="T270" s="231">
        <v>77.099999999999994</v>
      </c>
      <c r="U270" s="230">
        <v>137588</v>
      </c>
      <c r="V270" s="231">
        <v>43</v>
      </c>
      <c r="W270" s="230">
        <v>374400</v>
      </c>
      <c r="X270" s="231">
        <v>104</v>
      </c>
      <c r="Y270" s="230">
        <v>116928</v>
      </c>
      <c r="Z270" s="273">
        <v>48.7</v>
      </c>
    </row>
    <row r="271" spans="1:26" x14ac:dyDescent="0.2">
      <c r="A271" s="699"/>
      <c r="B271" s="205" t="s">
        <v>377</v>
      </c>
      <c r="C271" s="355"/>
      <c r="D271" s="375"/>
      <c r="E271" s="355"/>
      <c r="F271" s="376"/>
      <c r="G271" s="285">
        <v>585</v>
      </c>
      <c r="H271" s="231">
        <v>2</v>
      </c>
      <c r="I271" s="230">
        <v>8783</v>
      </c>
      <c r="J271" s="273">
        <v>2.4</v>
      </c>
      <c r="K271" s="285">
        <v>4635</v>
      </c>
      <c r="L271" s="231">
        <v>1.9</v>
      </c>
      <c r="M271" s="230">
        <v>10212</v>
      </c>
      <c r="N271" s="231">
        <v>2.8</v>
      </c>
      <c r="O271" s="230">
        <v>12419</v>
      </c>
      <c r="P271" s="231">
        <v>3.4</v>
      </c>
      <c r="Q271" s="230">
        <v>3941</v>
      </c>
      <c r="R271" s="231">
        <v>1.6</v>
      </c>
      <c r="S271" s="230">
        <v>7429</v>
      </c>
      <c r="T271" s="231">
        <v>3.1</v>
      </c>
      <c r="U271" s="230">
        <v>6242</v>
      </c>
      <c r="V271" s="231">
        <v>2</v>
      </c>
      <c r="W271" s="230">
        <v>14234</v>
      </c>
      <c r="X271" s="231">
        <v>4</v>
      </c>
      <c r="Y271" s="230">
        <v>7134</v>
      </c>
      <c r="Z271" s="273">
        <v>3</v>
      </c>
    </row>
    <row r="272" spans="1:26" x14ac:dyDescent="0.2">
      <c r="A272" s="699"/>
      <c r="B272" s="205" t="s">
        <v>378</v>
      </c>
      <c r="C272" s="355"/>
      <c r="D272" s="375"/>
      <c r="E272" s="355"/>
      <c r="F272" s="376"/>
      <c r="G272" s="285">
        <v>5090</v>
      </c>
      <c r="H272" s="231">
        <v>17</v>
      </c>
      <c r="I272" s="230">
        <v>56376</v>
      </c>
      <c r="J272" s="273">
        <v>15.7</v>
      </c>
      <c r="K272" s="285">
        <v>30186</v>
      </c>
      <c r="L272" s="231">
        <v>12.6</v>
      </c>
      <c r="M272" s="230">
        <v>63408</v>
      </c>
      <c r="N272" s="231">
        <v>17.600000000000001</v>
      </c>
      <c r="O272" s="230">
        <v>124779</v>
      </c>
      <c r="P272" s="231">
        <v>34.700000000000003</v>
      </c>
      <c r="Q272" s="230">
        <v>83220</v>
      </c>
      <c r="R272" s="231">
        <v>34.700000000000003</v>
      </c>
      <c r="S272" s="230">
        <v>49932</v>
      </c>
      <c r="T272" s="231">
        <v>20.8</v>
      </c>
      <c r="U272" s="230">
        <v>56760</v>
      </c>
      <c r="V272" s="231">
        <v>17.7</v>
      </c>
      <c r="W272" s="230">
        <v>126387</v>
      </c>
      <c r="X272" s="231">
        <v>35.1</v>
      </c>
      <c r="Y272" s="230">
        <v>52618</v>
      </c>
      <c r="Z272" s="273">
        <v>21.9</v>
      </c>
    </row>
    <row r="273" spans="1:26" x14ac:dyDescent="0.2">
      <c r="A273" s="699"/>
      <c r="B273" s="205" t="s">
        <v>379</v>
      </c>
      <c r="C273" s="355"/>
      <c r="D273" s="375"/>
      <c r="E273" s="355"/>
      <c r="F273" s="376"/>
      <c r="G273" s="285">
        <v>2036</v>
      </c>
      <c r="H273" s="231">
        <v>6.8</v>
      </c>
      <c r="I273" s="230">
        <v>155070</v>
      </c>
      <c r="J273" s="273">
        <v>43.1</v>
      </c>
      <c r="K273" s="285">
        <v>40248</v>
      </c>
      <c r="L273" s="231">
        <v>16.8</v>
      </c>
      <c r="M273" s="230">
        <v>155070</v>
      </c>
      <c r="N273" s="231">
        <v>43.1</v>
      </c>
      <c r="O273" s="230">
        <v>199728</v>
      </c>
      <c r="P273" s="231">
        <v>55.5</v>
      </c>
      <c r="Q273" s="230">
        <v>66576</v>
      </c>
      <c r="R273" s="231">
        <v>27.7</v>
      </c>
      <c r="S273" s="230">
        <v>16644</v>
      </c>
      <c r="T273" s="231">
        <v>6.9</v>
      </c>
      <c r="U273" s="230">
        <v>10320</v>
      </c>
      <c r="V273" s="231">
        <v>3.2</v>
      </c>
      <c r="W273" s="230">
        <v>16848</v>
      </c>
      <c r="X273" s="231">
        <v>4.7</v>
      </c>
      <c r="Y273" s="230">
        <v>8770</v>
      </c>
      <c r="Z273" s="273">
        <v>3.7</v>
      </c>
    </row>
    <row r="274" spans="1:26" x14ac:dyDescent="0.2">
      <c r="A274" s="699"/>
      <c r="B274" s="205" t="s">
        <v>380</v>
      </c>
      <c r="C274" s="355"/>
      <c r="D274" s="375"/>
      <c r="E274" s="377"/>
      <c r="F274" s="376"/>
      <c r="G274" s="285">
        <v>0</v>
      </c>
      <c r="H274" s="231">
        <v>0</v>
      </c>
      <c r="I274" s="230">
        <v>0</v>
      </c>
      <c r="J274" s="273">
        <v>0</v>
      </c>
      <c r="K274" s="285">
        <v>0</v>
      </c>
      <c r="L274" s="231">
        <v>0</v>
      </c>
      <c r="M274" s="230">
        <v>0</v>
      </c>
      <c r="N274" s="231">
        <v>0</v>
      </c>
      <c r="O274" s="230">
        <v>0</v>
      </c>
      <c r="P274" s="231">
        <v>0</v>
      </c>
      <c r="Q274" s="230">
        <v>0</v>
      </c>
      <c r="R274" s="231">
        <v>0</v>
      </c>
      <c r="S274" s="230">
        <v>0</v>
      </c>
      <c r="T274" s="231">
        <v>0</v>
      </c>
      <c r="U274" s="230">
        <v>0</v>
      </c>
      <c r="V274" s="231">
        <v>0</v>
      </c>
      <c r="W274" s="230">
        <v>0</v>
      </c>
      <c r="X274" s="231">
        <v>0</v>
      </c>
      <c r="Y274" s="230">
        <v>0</v>
      </c>
      <c r="Z274" s="273">
        <v>0</v>
      </c>
    </row>
    <row r="275" spans="1:26" x14ac:dyDescent="0.2">
      <c r="A275" s="699"/>
      <c r="B275" s="205" t="s">
        <v>381</v>
      </c>
      <c r="C275" s="355"/>
      <c r="D275" s="375"/>
      <c r="E275" s="377"/>
      <c r="F275" s="376"/>
      <c r="G275" s="285">
        <v>0</v>
      </c>
      <c r="H275" s="231">
        <v>0</v>
      </c>
      <c r="I275" s="230">
        <v>27840</v>
      </c>
      <c r="J275" s="273">
        <v>7.7</v>
      </c>
      <c r="K275" s="285">
        <v>0</v>
      </c>
      <c r="L275" s="231">
        <v>0</v>
      </c>
      <c r="M275" s="230">
        <v>35848</v>
      </c>
      <c r="N275" s="231">
        <v>10</v>
      </c>
      <c r="O275" s="230">
        <v>68351</v>
      </c>
      <c r="P275" s="231">
        <v>19</v>
      </c>
      <c r="Q275" s="230">
        <v>0</v>
      </c>
      <c r="R275" s="231">
        <v>0</v>
      </c>
      <c r="S275" s="230">
        <v>29653</v>
      </c>
      <c r="T275" s="231">
        <v>12.4</v>
      </c>
      <c r="U275" s="230">
        <v>0</v>
      </c>
      <c r="V275" s="231">
        <v>0</v>
      </c>
      <c r="W275" s="230">
        <v>70164</v>
      </c>
      <c r="X275" s="231">
        <v>19.5</v>
      </c>
      <c r="Y275" s="230">
        <v>22221</v>
      </c>
      <c r="Z275" s="273">
        <v>9.3000000000000007</v>
      </c>
    </row>
    <row r="276" spans="1:26" s="20" customFormat="1" x14ac:dyDescent="0.2">
      <c r="A276" s="699"/>
      <c r="B276" s="284" t="s">
        <v>382</v>
      </c>
      <c r="C276" s="357"/>
      <c r="D276" s="378"/>
      <c r="E276" s="357"/>
      <c r="F276" s="379"/>
      <c r="G276" s="286">
        <v>170246</v>
      </c>
      <c r="H276" s="276">
        <v>567.5</v>
      </c>
      <c r="I276" s="275">
        <v>1473331</v>
      </c>
      <c r="J276" s="279">
        <v>409.3</v>
      </c>
      <c r="K276" s="286">
        <v>1076170</v>
      </c>
      <c r="L276" s="276">
        <v>448.4</v>
      </c>
      <c r="M276" s="275">
        <v>1663851</v>
      </c>
      <c r="N276" s="276">
        <v>462.2</v>
      </c>
      <c r="O276" s="275">
        <v>2850240</v>
      </c>
      <c r="P276" s="276">
        <v>791.7</v>
      </c>
      <c r="Q276" s="275">
        <v>1573078</v>
      </c>
      <c r="R276" s="276">
        <v>655.4</v>
      </c>
      <c r="S276" s="275">
        <v>1488963</v>
      </c>
      <c r="T276" s="276">
        <v>620.4</v>
      </c>
      <c r="U276" s="275">
        <v>1971160</v>
      </c>
      <c r="V276" s="276">
        <v>616</v>
      </c>
      <c r="W276" s="275">
        <v>2308397</v>
      </c>
      <c r="X276" s="276">
        <v>641.20000000000005</v>
      </c>
      <c r="Y276" s="275">
        <v>1195219</v>
      </c>
      <c r="Z276" s="279">
        <v>498</v>
      </c>
    </row>
    <row r="277" spans="1:26" s="216" customFormat="1" x14ac:dyDescent="0.2">
      <c r="A277" s="699"/>
      <c r="B277" s="361" t="s">
        <v>574</v>
      </c>
      <c r="C277" s="353"/>
      <c r="D277" s="354"/>
      <c r="E277" s="353"/>
      <c r="F277" s="354"/>
      <c r="G277" s="353" t="s">
        <v>372</v>
      </c>
      <c r="H277" s="354" t="s">
        <v>397</v>
      </c>
      <c r="I277" s="353" t="s">
        <v>372</v>
      </c>
      <c r="J277" s="354" t="s">
        <v>397</v>
      </c>
      <c r="K277" s="353" t="s">
        <v>372</v>
      </c>
      <c r="L277" s="354" t="s">
        <v>397</v>
      </c>
      <c r="M277" s="353" t="s">
        <v>372</v>
      </c>
      <c r="N277" s="354" t="s">
        <v>397</v>
      </c>
      <c r="O277" s="353" t="s">
        <v>372</v>
      </c>
      <c r="P277" s="354" t="s">
        <v>397</v>
      </c>
      <c r="Q277" s="353" t="s">
        <v>372</v>
      </c>
      <c r="R277" s="354" t="s">
        <v>397</v>
      </c>
      <c r="S277" s="353" t="s">
        <v>372</v>
      </c>
      <c r="T277" s="354" t="s">
        <v>397</v>
      </c>
      <c r="U277" s="353" t="s">
        <v>372</v>
      </c>
      <c r="V277" s="354" t="s">
        <v>397</v>
      </c>
      <c r="W277" s="353" t="s">
        <v>372</v>
      </c>
      <c r="X277" s="354" t="s">
        <v>397</v>
      </c>
      <c r="Y277" s="353" t="s">
        <v>372</v>
      </c>
      <c r="Z277" s="354" t="s">
        <v>397</v>
      </c>
    </row>
    <row r="278" spans="1:26" x14ac:dyDescent="0.2">
      <c r="A278" s="699"/>
      <c r="B278" s="362" t="s">
        <v>373</v>
      </c>
      <c r="C278" s="355"/>
      <c r="D278" s="356"/>
      <c r="E278" s="355"/>
      <c r="F278" s="356"/>
      <c r="G278" s="355">
        <f t="shared" ref="G278:Z278" si="92">G$6-G267</f>
        <v>-8632</v>
      </c>
      <c r="H278" s="356">
        <f t="shared" si="92"/>
        <v>-28.800000000000011</v>
      </c>
      <c r="I278" s="355">
        <f t="shared" si="92"/>
        <v>-136697</v>
      </c>
      <c r="J278" s="356">
        <f t="shared" si="92"/>
        <v>-37.899999999999977</v>
      </c>
      <c r="K278" s="355">
        <f t="shared" si="92"/>
        <v>-81762</v>
      </c>
      <c r="L278" s="356">
        <f t="shared" si="92"/>
        <v>-34</v>
      </c>
      <c r="M278" s="355">
        <f t="shared" si="92"/>
        <v>-133101</v>
      </c>
      <c r="N278" s="356">
        <f t="shared" si="92"/>
        <v>-36.900000000000006</v>
      </c>
      <c r="O278" s="355">
        <f t="shared" si="92"/>
        <v>-227767</v>
      </c>
      <c r="P278" s="356">
        <f t="shared" si="92"/>
        <v>-63.300000000000011</v>
      </c>
      <c r="Q278" s="355">
        <f t="shared" si="92"/>
        <v>-144734</v>
      </c>
      <c r="R278" s="356">
        <f t="shared" si="92"/>
        <v>-60.299999999999983</v>
      </c>
      <c r="S278" s="355">
        <f t="shared" si="92"/>
        <v>-178599</v>
      </c>
      <c r="T278" s="356">
        <f t="shared" si="92"/>
        <v>-74.399999999999977</v>
      </c>
      <c r="U278" s="355">
        <f t="shared" si="92"/>
        <v>-82077</v>
      </c>
      <c r="V278" s="356">
        <f t="shared" si="92"/>
        <v>-25.600000000000023</v>
      </c>
      <c r="W278" s="355">
        <f t="shared" si="92"/>
        <v>-313922</v>
      </c>
      <c r="X278" s="356">
        <f t="shared" si="92"/>
        <v>-87.200000000000017</v>
      </c>
      <c r="Y278" s="355">
        <f t="shared" si="92"/>
        <v>-72553</v>
      </c>
      <c r="Z278" s="356">
        <f t="shared" si="92"/>
        <v>-30.199999999999989</v>
      </c>
    </row>
    <row r="279" spans="1:26" x14ac:dyDescent="0.2">
      <c r="A279" s="699"/>
      <c r="B279" s="362" t="s">
        <v>374</v>
      </c>
      <c r="C279" s="355"/>
      <c r="D279" s="356"/>
      <c r="E279" s="355"/>
      <c r="F279" s="356"/>
      <c r="G279" s="355">
        <f t="shared" ref="G279:Z279" si="93">G$7-G268</f>
        <v>-11</v>
      </c>
      <c r="H279" s="356">
        <f t="shared" si="93"/>
        <v>0</v>
      </c>
      <c r="I279" s="355">
        <f t="shared" si="93"/>
        <v>-600</v>
      </c>
      <c r="J279" s="356">
        <f t="shared" si="93"/>
        <v>-0.20000000000000284</v>
      </c>
      <c r="K279" s="355">
        <f t="shared" si="93"/>
        <v>-564</v>
      </c>
      <c r="L279" s="356">
        <f t="shared" si="93"/>
        <v>-0.20000000000000284</v>
      </c>
      <c r="M279" s="355">
        <f t="shared" si="93"/>
        <v>-329</v>
      </c>
      <c r="N279" s="356">
        <f t="shared" si="93"/>
        <v>-9.9999999999994316E-2</v>
      </c>
      <c r="O279" s="355">
        <f t="shared" si="93"/>
        <v>-117</v>
      </c>
      <c r="P279" s="356">
        <f t="shared" si="93"/>
        <v>-9.9999999999994316E-2</v>
      </c>
      <c r="Q279" s="355">
        <f t="shared" si="93"/>
        <v>-803</v>
      </c>
      <c r="R279" s="356">
        <f t="shared" si="93"/>
        <v>-0.29999999999998295</v>
      </c>
      <c r="S279" s="355">
        <f t="shared" si="93"/>
        <v>-11</v>
      </c>
      <c r="T279" s="356">
        <f t="shared" si="93"/>
        <v>0</v>
      </c>
      <c r="U279" s="355">
        <f t="shared" si="93"/>
        <v>-282</v>
      </c>
      <c r="V279" s="356">
        <f t="shared" si="93"/>
        <v>-9.9999999999994316E-2</v>
      </c>
      <c r="W279" s="355">
        <f t="shared" si="93"/>
        <v>-412</v>
      </c>
      <c r="X279" s="356">
        <f t="shared" si="93"/>
        <v>-0.10000000000002274</v>
      </c>
      <c r="Y279" s="355">
        <f t="shared" si="93"/>
        <v>-1</v>
      </c>
      <c r="Z279" s="356">
        <f t="shared" si="93"/>
        <v>0</v>
      </c>
    </row>
    <row r="280" spans="1:26" x14ac:dyDescent="0.2">
      <c r="A280" s="699"/>
      <c r="B280" s="362" t="s">
        <v>375</v>
      </c>
      <c r="C280" s="355"/>
      <c r="D280" s="356"/>
      <c r="E280" s="355"/>
      <c r="F280" s="356"/>
      <c r="G280" s="355">
        <f t="shared" ref="G280:Z280" si="94">G$8-G269</f>
        <v>0</v>
      </c>
      <c r="H280" s="356">
        <f t="shared" si="94"/>
        <v>0</v>
      </c>
      <c r="I280" s="355">
        <f t="shared" si="94"/>
        <v>0</v>
      </c>
      <c r="J280" s="356">
        <f t="shared" si="94"/>
        <v>0</v>
      </c>
      <c r="K280" s="355">
        <f t="shared" si="94"/>
        <v>0</v>
      </c>
      <c r="L280" s="356">
        <f t="shared" si="94"/>
        <v>0</v>
      </c>
      <c r="M280" s="355">
        <f t="shared" si="94"/>
        <v>0</v>
      </c>
      <c r="N280" s="356">
        <f t="shared" si="94"/>
        <v>0</v>
      </c>
      <c r="O280" s="355">
        <f t="shared" si="94"/>
        <v>0</v>
      </c>
      <c r="P280" s="356">
        <f t="shared" si="94"/>
        <v>0</v>
      </c>
      <c r="Q280" s="355">
        <f t="shared" si="94"/>
        <v>0</v>
      </c>
      <c r="R280" s="356">
        <f t="shared" si="94"/>
        <v>0</v>
      </c>
      <c r="S280" s="355">
        <f t="shared" si="94"/>
        <v>0</v>
      </c>
      <c r="T280" s="356">
        <f t="shared" si="94"/>
        <v>0</v>
      </c>
      <c r="U280" s="355">
        <f t="shared" si="94"/>
        <v>0</v>
      </c>
      <c r="V280" s="356">
        <f t="shared" si="94"/>
        <v>0</v>
      </c>
      <c r="W280" s="355">
        <f t="shared" si="94"/>
        <v>0</v>
      </c>
      <c r="X280" s="356">
        <f t="shared" si="94"/>
        <v>0</v>
      </c>
      <c r="Y280" s="355">
        <f t="shared" si="94"/>
        <v>0</v>
      </c>
      <c r="Z280" s="356">
        <f t="shared" si="94"/>
        <v>0</v>
      </c>
    </row>
    <row r="281" spans="1:26" x14ac:dyDescent="0.2">
      <c r="A281" s="699"/>
      <c r="B281" s="362" t="s">
        <v>376</v>
      </c>
      <c r="C281" s="355"/>
      <c r="D281" s="356"/>
      <c r="E281" s="355"/>
      <c r="F281" s="356"/>
      <c r="G281" s="355">
        <f t="shared" ref="G281:Z281" si="95">G$9-G270</f>
        <v>0</v>
      </c>
      <c r="H281" s="356">
        <f t="shared" si="95"/>
        <v>0</v>
      </c>
      <c r="I281" s="355">
        <f t="shared" si="95"/>
        <v>0</v>
      </c>
      <c r="J281" s="356">
        <f t="shared" si="95"/>
        <v>0</v>
      </c>
      <c r="K281" s="355">
        <f t="shared" si="95"/>
        <v>0</v>
      </c>
      <c r="L281" s="356">
        <f t="shared" si="95"/>
        <v>0</v>
      </c>
      <c r="M281" s="355">
        <f t="shared" si="95"/>
        <v>0</v>
      </c>
      <c r="N281" s="356">
        <f t="shared" si="95"/>
        <v>0</v>
      </c>
      <c r="O281" s="355">
        <f t="shared" si="95"/>
        <v>0</v>
      </c>
      <c r="P281" s="356">
        <f t="shared" si="95"/>
        <v>0</v>
      </c>
      <c r="Q281" s="355">
        <f t="shared" si="95"/>
        <v>0</v>
      </c>
      <c r="R281" s="356">
        <f t="shared" si="95"/>
        <v>0</v>
      </c>
      <c r="S281" s="355">
        <f t="shared" si="95"/>
        <v>0</v>
      </c>
      <c r="T281" s="356">
        <f t="shared" si="95"/>
        <v>0</v>
      </c>
      <c r="U281" s="355">
        <f t="shared" si="95"/>
        <v>0</v>
      </c>
      <c r="V281" s="356">
        <f t="shared" si="95"/>
        <v>0</v>
      </c>
      <c r="W281" s="355">
        <f t="shared" si="95"/>
        <v>0</v>
      </c>
      <c r="X281" s="356">
        <f t="shared" si="95"/>
        <v>0</v>
      </c>
      <c r="Y281" s="355">
        <f t="shared" si="95"/>
        <v>0</v>
      </c>
      <c r="Z281" s="356">
        <f t="shared" si="95"/>
        <v>0</v>
      </c>
    </row>
    <row r="282" spans="1:26" x14ac:dyDescent="0.2">
      <c r="A282" s="699"/>
      <c r="B282" s="362" t="s">
        <v>377</v>
      </c>
      <c r="C282" s="355"/>
      <c r="D282" s="356"/>
      <c r="E282" s="355"/>
      <c r="F282" s="356"/>
      <c r="G282" s="355">
        <f t="shared" ref="G282:Z282" si="96">G$10-G271</f>
        <v>0</v>
      </c>
      <c r="H282" s="356">
        <f t="shared" si="96"/>
        <v>0</v>
      </c>
      <c r="I282" s="355">
        <f t="shared" si="96"/>
        <v>-1</v>
      </c>
      <c r="J282" s="356">
        <f t="shared" si="96"/>
        <v>0</v>
      </c>
      <c r="K282" s="355">
        <f t="shared" si="96"/>
        <v>0</v>
      </c>
      <c r="L282" s="356">
        <f t="shared" si="96"/>
        <v>0</v>
      </c>
      <c r="M282" s="355">
        <f t="shared" si="96"/>
        <v>-175</v>
      </c>
      <c r="N282" s="356">
        <f t="shared" si="96"/>
        <v>0</v>
      </c>
      <c r="O282" s="355">
        <f t="shared" si="96"/>
        <v>-183</v>
      </c>
      <c r="P282" s="356">
        <f t="shared" si="96"/>
        <v>0</v>
      </c>
      <c r="Q282" s="355">
        <f t="shared" si="96"/>
        <v>-262</v>
      </c>
      <c r="R282" s="356">
        <f t="shared" si="96"/>
        <v>-0.10000000000000009</v>
      </c>
      <c r="S282" s="355">
        <f t="shared" si="96"/>
        <v>-305</v>
      </c>
      <c r="T282" s="356">
        <f t="shared" si="96"/>
        <v>-0.10000000000000009</v>
      </c>
      <c r="U282" s="355">
        <f t="shared" si="96"/>
        <v>0</v>
      </c>
      <c r="V282" s="356">
        <f t="shared" si="96"/>
        <v>0</v>
      </c>
      <c r="W282" s="355">
        <f t="shared" si="96"/>
        <v>-199</v>
      </c>
      <c r="X282" s="356">
        <f t="shared" si="96"/>
        <v>-0.10000000000000009</v>
      </c>
      <c r="Y282" s="355">
        <f t="shared" si="96"/>
        <v>-154</v>
      </c>
      <c r="Z282" s="356">
        <f t="shared" si="96"/>
        <v>-0.10000000000000009</v>
      </c>
    </row>
    <row r="283" spans="1:26" x14ac:dyDescent="0.2">
      <c r="A283" s="699"/>
      <c r="B283" s="362" t="s">
        <v>378</v>
      </c>
      <c r="C283" s="355"/>
      <c r="D283" s="356"/>
      <c r="E283" s="355"/>
      <c r="F283" s="356"/>
      <c r="G283" s="355">
        <f t="shared" ref="G283:Z283" si="97">G$11-G272</f>
        <v>10179</v>
      </c>
      <c r="H283" s="356">
        <f t="shared" si="97"/>
        <v>33.9</v>
      </c>
      <c r="I283" s="355">
        <f t="shared" si="97"/>
        <v>155077</v>
      </c>
      <c r="J283" s="356">
        <f t="shared" si="97"/>
        <v>43</v>
      </c>
      <c r="K283" s="355">
        <f t="shared" si="97"/>
        <v>95573</v>
      </c>
      <c r="L283" s="356">
        <f t="shared" si="97"/>
        <v>39.799999999999997</v>
      </c>
      <c r="M283" s="355">
        <f t="shared" si="97"/>
        <v>148045</v>
      </c>
      <c r="N283" s="356">
        <f t="shared" si="97"/>
        <v>41.1</v>
      </c>
      <c r="O283" s="355">
        <f t="shared" si="97"/>
        <v>249802</v>
      </c>
      <c r="P283" s="356">
        <f t="shared" si="97"/>
        <v>69.399999999999991</v>
      </c>
      <c r="Q283" s="355">
        <f t="shared" si="97"/>
        <v>166337</v>
      </c>
      <c r="R283" s="356">
        <f t="shared" si="97"/>
        <v>69.3</v>
      </c>
      <c r="S283" s="355">
        <f t="shared" si="97"/>
        <v>199625</v>
      </c>
      <c r="T283" s="356">
        <f t="shared" si="97"/>
        <v>83.2</v>
      </c>
      <c r="U283" s="355">
        <f t="shared" si="97"/>
        <v>98040</v>
      </c>
      <c r="V283" s="356">
        <f t="shared" si="97"/>
        <v>30.7</v>
      </c>
      <c r="W283" s="355">
        <f t="shared" si="97"/>
        <v>347486</v>
      </c>
      <c r="X283" s="356">
        <f t="shared" si="97"/>
        <v>96.5</v>
      </c>
      <c r="Y283" s="355">
        <f t="shared" si="97"/>
        <v>78926</v>
      </c>
      <c r="Z283" s="356">
        <f t="shared" si="97"/>
        <v>32.9</v>
      </c>
    </row>
    <row r="284" spans="1:26" x14ac:dyDescent="0.2">
      <c r="A284" s="699"/>
      <c r="B284" s="362" t="s">
        <v>379</v>
      </c>
      <c r="C284" s="355"/>
      <c r="D284" s="356"/>
      <c r="E284" s="355"/>
      <c r="F284" s="356"/>
      <c r="G284" s="355">
        <f t="shared" ref="G284:Z284" si="98">G$12-G273</f>
        <v>0</v>
      </c>
      <c r="H284" s="356">
        <f t="shared" si="98"/>
        <v>0</v>
      </c>
      <c r="I284" s="355">
        <f t="shared" si="98"/>
        <v>0</v>
      </c>
      <c r="J284" s="356">
        <f t="shared" si="98"/>
        <v>0</v>
      </c>
      <c r="K284" s="355">
        <f t="shared" si="98"/>
        <v>0</v>
      </c>
      <c r="L284" s="356">
        <f t="shared" si="98"/>
        <v>0</v>
      </c>
      <c r="M284" s="355">
        <f t="shared" si="98"/>
        <v>0</v>
      </c>
      <c r="N284" s="356">
        <f t="shared" si="98"/>
        <v>0</v>
      </c>
      <c r="O284" s="355">
        <f t="shared" si="98"/>
        <v>0</v>
      </c>
      <c r="P284" s="356">
        <f t="shared" si="98"/>
        <v>0</v>
      </c>
      <c r="Q284" s="355">
        <f t="shared" si="98"/>
        <v>0</v>
      </c>
      <c r="R284" s="356">
        <f t="shared" si="98"/>
        <v>0</v>
      </c>
      <c r="S284" s="355">
        <f t="shared" si="98"/>
        <v>0</v>
      </c>
      <c r="T284" s="356">
        <f t="shared" si="98"/>
        <v>0</v>
      </c>
      <c r="U284" s="355">
        <f t="shared" si="98"/>
        <v>0</v>
      </c>
      <c r="V284" s="356">
        <f t="shared" si="98"/>
        <v>0</v>
      </c>
      <c r="W284" s="355">
        <f t="shared" si="98"/>
        <v>0</v>
      </c>
      <c r="X284" s="356">
        <f t="shared" si="98"/>
        <v>0</v>
      </c>
      <c r="Y284" s="355">
        <f t="shared" si="98"/>
        <v>0</v>
      </c>
      <c r="Z284" s="356">
        <f t="shared" si="98"/>
        <v>0</v>
      </c>
    </row>
    <row r="285" spans="1:26" x14ac:dyDescent="0.2">
      <c r="A285" s="699"/>
      <c r="B285" s="362" t="s">
        <v>380</v>
      </c>
      <c r="C285" s="355"/>
      <c r="D285" s="356"/>
      <c r="E285" s="355"/>
      <c r="F285" s="356"/>
      <c r="G285" s="355">
        <f t="shared" ref="G285:Z285" si="99">G$13-G274</f>
        <v>0</v>
      </c>
      <c r="H285" s="356">
        <f t="shared" si="99"/>
        <v>0</v>
      </c>
      <c r="I285" s="355">
        <f t="shared" si="99"/>
        <v>0</v>
      </c>
      <c r="J285" s="356">
        <f t="shared" si="99"/>
        <v>0</v>
      </c>
      <c r="K285" s="355">
        <f t="shared" si="99"/>
        <v>0</v>
      </c>
      <c r="L285" s="356">
        <f t="shared" si="99"/>
        <v>0</v>
      </c>
      <c r="M285" s="355">
        <f t="shared" si="99"/>
        <v>0</v>
      </c>
      <c r="N285" s="356">
        <f t="shared" si="99"/>
        <v>0</v>
      </c>
      <c r="O285" s="355">
        <f t="shared" si="99"/>
        <v>0</v>
      </c>
      <c r="P285" s="356">
        <f t="shared" si="99"/>
        <v>0</v>
      </c>
      <c r="Q285" s="355">
        <f t="shared" si="99"/>
        <v>0</v>
      </c>
      <c r="R285" s="356">
        <f t="shared" si="99"/>
        <v>0</v>
      </c>
      <c r="S285" s="355">
        <f t="shared" si="99"/>
        <v>0</v>
      </c>
      <c r="T285" s="356">
        <f t="shared" si="99"/>
        <v>0</v>
      </c>
      <c r="U285" s="355">
        <f t="shared" si="99"/>
        <v>0</v>
      </c>
      <c r="V285" s="356">
        <f t="shared" si="99"/>
        <v>0</v>
      </c>
      <c r="W285" s="355">
        <f t="shared" si="99"/>
        <v>0</v>
      </c>
      <c r="X285" s="356">
        <f t="shared" si="99"/>
        <v>0</v>
      </c>
      <c r="Y285" s="355">
        <f t="shared" si="99"/>
        <v>0</v>
      </c>
      <c r="Z285" s="356">
        <f t="shared" si="99"/>
        <v>0</v>
      </c>
    </row>
    <row r="286" spans="1:26" x14ac:dyDescent="0.2">
      <c r="A286" s="699"/>
      <c r="B286" s="362" t="s">
        <v>381</v>
      </c>
      <c r="C286" s="355"/>
      <c r="D286" s="356"/>
      <c r="E286" s="355"/>
      <c r="F286" s="356"/>
      <c r="G286" s="355">
        <f t="shared" ref="G286:Z286" si="100">G$14-G275</f>
        <v>0</v>
      </c>
      <c r="H286" s="356">
        <f t="shared" si="100"/>
        <v>0</v>
      </c>
      <c r="I286" s="355">
        <f t="shared" si="100"/>
        <v>0</v>
      </c>
      <c r="J286" s="356">
        <f t="shared" si="100"/>
        <v>0</v>
      </c>
      <c r="K286" s="355">
        <f t="shared" si="100"/>
        <v>0</v>
      </c>
      <c r="L286" s="356">
        <f t="shared" si="100"/>
        <v>0</v>
      </c>
      <c r="M286" s="355">
        <f t="shared" si="100"/>
        <v>0</v>
      </c>
      <c r="N286" s="356">
        <f t="shared" si="100"/>
        <v>0</v>
      </c>
      <c r="O286" s="355">
        <f t="shared" si="100"/>
        <v>0</v>
      </c>
      <c r="P286" s="356">
        <f t="shared" si="100"/>
        <v>0</v>
      </c>
      <c r="Q286" s="355">
        <f t="shared" si="100"/>
        <v>0</v>
      </c>
      <c r="R286" s="356">
        <f t="shared" si="100"/>
        <v>0</v>
      </c>
      <c r="S286" s="355">
        <f t="shared" si="100"/>
        <v>0</v>
      </c>
      <c r="T286" s="356">
        <f t="shared" si="100"/>
        <v>0</v>
      </c>
      <c r="U286" s="355">
        <f t="shared" si="100"/>
        <v>0</v>
      </c>
      <c r="V286" s="356">
        <f t="shared" si="100"/>
        <v>0</v>
      </c>
      <c r="W286" s="355">
        <f t="shared" si="100"/>
        <v>0</v>
      </c>
      <c r="X286" s="356">
        <f t="shared" si="100"/>
        <v>0</v>
      </c>
      <c r="Y286" s="355">
        <f t="shared" si="100"/>
        <v>0</v>
      </c>
      <c r="Z286" s="356">
        <f t="shared" si="100"/>
        <v>0</v>
      </c>
    </row>
    <row r="287" spans="1:26" s="20" customFormat="1" x14ac:dyDescent="0.2">
      <c r="A287" s="699"/>
      <c r="B287" s="363" t="s">
        <v>382</v>
      </c>
      <c r="C287" s="357"/>
      <c r="D287" s="358"/>
      <c r="E287" s="357"/>
      <c r="F287" s="358"/>
      <c r="G287" s="357">
        <f t="shared" ref="G287:Z287" si="101">G$15-G276</f>
        <v>1537</v>
      </c>
      <c r="H287" s="358">
        <f>H$15-H276</f>
        <v>5.1000000000000227</v>
      </c>
      <c r="I287" s="357">
        <f t="shared" si="101"/>
        <v>17779</v>
      </c>
      <c r="J287" s="358">
        <f t="shared" si="101"/>
        <v>4.8999999999999773</v>
      </c>
      <c r="K287" s="357">
        <f t="shared" si="101"/>
        <v>13246</v>
      </c>
      <c r="L287" s="358">
        <f t="shared" si="101"/>
        <v>5.5</v>
      </c>
      <c r="M287" s="357">
        <f t="shared" si="101"/>
        <v>14441</v>
      </c>
      <c r="N287" s="358">
        <f t="shared" si="101"/>
        <v>4</v>
      </c>
      <c r="O287" s="357">
        <f t="shared" si="101"/>
        <v>21735</v>
      </c>
      <c r="P287" s="358">
        <f t="shared" si="101"/>
        <v>6.0999999999999091</v>
      </c>
      <c r="Q287" s="357">
        <f t="shared" si="101"/>
        <v>20539</v>
      </c>
      <c r="R287" s="358">
        <f t="shared" si="101"/>
        <v>8.6000000000000227</v>
      </c>
      <c r="S287" s="357">
        <f t="shared" si="101"/>
        <v>20709</v>
      </c>
      <c r="T287" s="358">
        <f t="shared" si="101"/>
        <v>8.6000000000000227</v>
      </c>
      <c r="U287" s="357">
        <f t="shared" si="101"/>
        <v>15680</v>
      </c>
      <c r="V287" s="358">
        <f t="shared" si="101"/>
        <v>4.8999999999999773</v>
      </c>
      <c r="W287" s="357">
        <f t="shared" si="101"/>
        <v>32953</v>
      </c>
      <c r="X287" s="358">
        <f t="shared" si="101"/>
        <v>9.1999999999999318</v>
      </c>
      <c r="Y287" s="357">
        <f t="shared" si="101"/>
        <v>6220</v>
      </c>
      <c r="Z287" s="358">
        <f t="shared" si="101"/>
        <v>2.6000000000000227</v>
      </c>
    </row>
    <row r="288" spans="1:26" s="216" customFormat="1" x14ac:dyDescent="0.2">
      <c r="A288" s="699"/>
      <c r="B288" s="352" t="s">
        <v>491</v>
      </c>
      <c r="C288" s="353"/>
      <c r="D288" s="354"/>
      <c r="E288" s="380"/>
      <c r="F288" s="354"/>
      <c r="G288" s="289" t="s">
        <v>372</v>
      </c>
      <c r="H288" s="291" t="s">
        <v>397</v>
      </c>
      <c r="I288" s="289" t="s">
        <v>372</v>
      </c>
      <c r="J288" s="291" t="s">
        <v>397</v>
      </c>
      <c r="K288" s="289" t="s">
        <v>372</v>
      </c>
      <c r="L288" s="291" t="s">
        <v>397</v>
      </c>
      <c r="M288" s="289" t="s">
        <v>372</v>
      </c>
      <c r="N288" s="291" t="s">
        <v>397</v>
      </c>
      <c r="O288" s="289" t="s">
        <v>372</v>
      </c>
      <c r="P288" s="291" t="s">
        <v>397</v>
      </c>
      <c r="Q288" s="289" t="s">
        <v>372</v>
      </c>
      <c r="R288" s="291" t="s">
        <v>397</v>
      </c>
      <c r="S288" s="289" t="s">
        <v>372</v>
      </c>
      <c r="T288" s="291" t="s">
        <v>397</v>
      </c>
      <c r="U288" s="289" t="s">
        <v>372</v>
      </c>
      <c r="V288" s="291" t="s">
        <v>397</v>
      </c>
      <c r="W288" s="289" t="s">
        <v>372</v>
      </c>
      <c r="X288" s="291" t="s">
        <v>397</v>
      </c>
      <c r="Y288" s="289" t="s">
        <v>372</v>
      </c>
      <c r="Z288" s="291" t="s">
        <v>397</v>
      </c>
    </row>
    <row r="289" spans="1:26" x14ac:dyDescent="0.2">
      <c r="A289" s="699"/>
      <c r="B289" s="272" t="s">
        <v>373</v>
      </c>
      <c r="C289" s="355"/>
      <c r="D289" s="356"/>
      <c r="E289" s="355"/>
      <c r="F289" s="356"/>
      <c r="G289" s="230">
        <f t="shared" ref="G289:Z297" si="102">G278-G253</f>
        <v>-2614</v>
      </c>
      <c r="H289" s="293">
        <f t="shared" si="102"/>
        <v>-8.6999999999999886</v>
      </c>
      <c r="I289" s="230">
        <f t="shared" si="102"/>
        <v>-50443</v>
      </c>
      <c r="J289" s="293">
        <f t="shared" si="102"/>
        <v>-14</v>
      </c>
      <c r="K289" s="230">
        <f t="shared" si="102"/>
        <v>-32087</v>
      </c>
      <c r="L289" s="293">
        <f t="shared" si="102"/>
        <v>-13.300000000000011</v>
      </c>
      <c r="M289" s="230">
        <f t="shared" si="102"/>
        <v>-44661</v>
      </c>
      <c r="N289" s="293">
        <f t="shared" si="102"/>
        <v>-12.400000000000006</v>
      </c>
      <c r="O289" s="230">
        <f t="shared" si="102"/>
        <v>-68477</v>
      </c>
      <c r="P289" s="293">
        <f t="shared" si="102"/>
        <v>-19</v>
      </c>
      <c r="Q289" s="230">
        <f t="shared" si="102"/>
        <v>-44211</v>
      </c>
      <c r="R289" s="293">
        <f t="shared" si="102"/>
        <v>-18.499999999999972</v>
      </c>
      <c r="S289" s="230">
        <f t="shared" si="102"/>
        <v>-74511</v>
      </c>
      <c r="T289" s="293">
        <f t="shared" si="102"/>
        <v>-31</v>
      </c>
      <c r="U289" s="230">
        <f t="shared" si="102"/>
        <v>-21683</v>
      </c>
      <c r="V289" s="293">
        <f t="shared" si="102"/>
        <v>-6.8000000000000114</v>
      </c>
      <c r="W289" s="230">
        <f t="shared" si="102"/>
        <v>-114778</v>
      </c>
      <c r="X289" s="293">
        <f t="shared" si="102"/>
        <v>-31.900000000000034</v>
      </c>
      <c r="Y289" s="230">
        <f t="shared" si="102"/>
        <v>-16135</v>
      </c>
      <c r="Z289" s="293">
        <f t="shared" si="102"/>
        <v>-6.6999999999999886</v>
      </c>
    </row>
    <row r="290" spans="1:26" x14ac:dyDescent="0.2">
      <c r="A290" s="699"/>
      <c r="B290" s="272" t="s">
        <v>374</v>
      </c>
      <c r="C290" s="355"/>
      <c r="D290" s="356"/>
      <c r="E290" s="355"/>
      <c r="F290" s="356"/>
      <c r="G290" s="230">
        <f t="shared" si="102"/>
        <v>-1</v>
      </c>
      <c r="H290" s="293">
        <f t="shared" si="102"/>
        <v>0</v>
      </c>
      <c r="I290" s="230">
        <f t="shared" si="102"/>
        <v>-121</v>
      </c>
      <c r="J290" s="293">
        <f t="shared" si="102"/>
        <v>0</v>
      </c>
      <c r="K290" s="230">
        <f t="shared" si="102"/>
        <v>-98</v>
      </c>
      <c r="L290" s="293">
        <f t="shared" si="102"/>
        <v>0</v>
      </c>
      <c r="M290" s="230">
        <f t="shared" si="102"/>
        <v>-41</v>
      </c>
      <c r="N290" s="293">
        <f t="shared" si="102"/>
        <v>0</v>
      </c>
      <c r="O290" s="230">
        <f t="shared" si="102"/>
        <v>-11</v>
      </c>
      <c r="P290" s="293">
        <f t="shared" si="102"/>
        <v>-9.9999999999994316E-2</v>
      </c>
      <c r="Q290" s="230">
        <f t="shared" si="102"/>
        <v>-114</v>
      </c>
      <c r="R290" s="293">
        <f t="shared" si="102"/>
        <v>0</v>
      </c>
      <c r="S290" s="230">
        <f t="shared" si="102"/>
        <v>0</v>
      </c>
      <c r="T290" s="293">
        <f t="shared" si="102"/>
        <v>0</v>
      </c>
      <c r="U290" s="230">
        <f t="shared" si="102"/>
        <v>-41</v>
      </c>
      <c r="V290" s="293">
        <f t="shared" si="102"/>
        <v>0</v>
      </c>
      <c r="W290" s="230">
        <f t="shared" si="102"/>
        <v>-38</v>
      </c>
      <c r="X290" s="293">
        <f t="shared" si="102"/>
        <v>0</v>
      </c>
      <c r="Y290" s="230">
        <f t="shared" si="102"/>
        <v>0</v>
      </c>
      <c r="Z290" s="293">
        <f t="shared" si="102"/>
        <v>0</v>
      </c>
    </row>
    <row r="291" spans="1:26" x14ac:dyDescent="0.2">
      <c r="A291" s="699"/>
      <c r="B291" s="272" t="s">
        <v>375</v>
      </c>
      <c r="C291" s="355"/>
      <c r="D291" s="356"/>
      <c r="E291" s="355"/>
      <c r="F291" s="356"/>
      <c r="G291" s="230">
        <f t="shared" si="102"/>
        <v>0</v>
      </c>
      <c r="H291" s="293">
        <f t="shared" si="102"/>
        <v>0</v>
      </c>
      <c r="I291" s="230">
        <f t="shared" si="102"/>
        <v>0</v>
      </c>
      <c r="J291" s="293">
        <f t="shared" si="102"/>
        <v>0</v>
      </c>
      <c r="K291" s="230">
        <f t="shared" si="102"/>
        <v>0</v>
      </c>
      <c r="L291" s="293">
        <f t="shared" si="102"/>
        <v>0</v>
      </c>
      <c r="M291" s="230">
        <f t="shared" si="102"/>
        <v>0</v>
      </c>
      <c r="N291" s="293">
        <f t="shared" si="102"/>
        <v>0</v>
      </c>
      <c r="O291" s="230">
        <f t="shared" si="102"/>
        <v>0</v>
      </c>
      <c r="P291" s="293">
        <f t="shared" si="102"/>
        <v>0</v>
      </c>
      <c r="Q291" s="230">
        <f t="shared" si="102"/>
        <v>0</v>
      </c>
      <c r="R291" s="293">
        <f t="shared" si="102"/>
        <v>0</v>
      </c>
      <c r="S291" s="230">
        <f t="shared" si="102"/>
        <v>0</v>
      </c>
      <c r="T291" s="293">
        <f t="shared" si="102"/>
        <v>0</v>
      </c>
      <c r="U291" s="230">
        <f t="shared" si="102"/>
        <v>0</v>
      </c>
      <c r="V291" s="293">
        <f t="shared" si="102"/>
        <v>0</v>
      </c>
      <c r="W291" s="230">
        <f t="shared" si="102"/>
        <v>0</v>
      </c>
      <c r="X291" s="293">
        <f t="shared" si="102"/>
        <v>0</v>
      </c>
      <c r="Y291" s="230">
        <f t="shared" si="102"/>
        <v>0</v>
      </c>
      <c r="Z291" s="293">
        <f t="shared" si="102"/>
        <v>0</v>
      </c>
    </row>
    <row r="292" spans="1:26" x14ac:dyDescent="0.2">
      <c r="A292" s="699"/>
      <c r="B292" s="272" t="s">
        <v>376</v>
      </c>
      <c r="C292" s="355"/>
      <c r="D292" s="356"/>
      <c r="E292" s="355"/>
      <c r="F292" s="356"/>
      <c r="G292" s="230">
        <f t="shared" si="102"/>
        <v>0</v>
      </c>
      <c r="H292" s="293">
        <f t="shared" si="102"/>
        <v>0</v>
      </c>
      <c r="I292" s="230">
        <f t="shared" si="102"/>
        <v>0</v>
      </c>
      <c r="J292" s="293">
        <f t="shared" si="102"/>
        <v>0</v>
      </c>
      <c r="K292" s="230">
        <f t="shared" si="102"/>
        <v>0</v>
      </c>
      <c r="L292" s="293">
        <f t="shared" si="102"/>
        <v>0</v>
      </c>
      <c r="M292" s="230">
        <f t="shared" si="102"/>
        <v>0</v>
      </c>
      <c r="N292" s="293">
        <f t="shared" si="102"/>
        <v>0</v>
      </c>
      <c r="O292" s="230">
        <f t="shared" si="102"/>
        <v>0</v>
      </c>
      <c r="P292" s="293">
        <f t="shared" si="102"/>
        <v>0</v>
      </c>
      <c r="Q292" s="230">
        <f t="shared" si="102"/>
        <v>0</v>
      </c>
      <c r="R292" s="293">
        <f t="shared" si="102"/>
        <v>0</v>
      </c>
      <c r="S292" s="230">
        <f t="shared" si="102"/>
        <v>0</v>
      </c>
      <c r="T292" s="293">
        <f t="shared" si="102"/>
        <v>0</v>
      </c>
      <c r="U292" s="230">
        <f t="shared" si="102"/>
        <v>0</v>
      </c>
      <c r="V292" s="293">
        <f t="shared" si="102"/>
        <v>0</v>
      </c>
      <c r="W292" s="230">
        <f t="shared" si="102"/>
        <v>0</v>
      </c>
      <c r="X292" s="293">
        <f t="shared" si="102"/>
        <v>0</v>
      </c>
      <c r="Y292" s="230">
        <f t="shared" si="102"/>
        <v>0</v>
      </c>
      <c r="Z292" s="293">
        <f t="shared" si="102"/>
        <v>0</v>
      </c>
    </row>
    <row r="293" spans="1:26" x14ac:dyDescent="0.2">
      <c r="A293" s="699"/>
      <c r="B293" s="272" t="s">
        <v>377</v>
      </c>
      <c r="C293" s="355"/>
      <c r="D293" s="356"/>
      <c r="E293" s="355"/>
      <c r="F293" s="356"/>
      <c r="G293" s="230">
        <f t="shared" si="102"/>
        <v>0</v>
      </c>
      <c r="H293" s="293">
        <f t="shared" si="102"/>
        <v>0</v>
      </c>
      <c r="I293" s="230">
        <f t="shared" si="102"/>
        <v>-1</v>
      </c>
      <c r="J293" s="293">
        <f t="shared" si="102"/>
        <v>0</v>
      </c>
      <c r="K293" s="230">
        <f t="shared" si="102"/>
        <v>0</v>
      </c>
      <c r="L293" s="293">
        <f t="shared" si="102"/>
        <v>0</v>
      </c>
      <c r="M293" s="230">
        <f t="shared" si="102"/>
        <v>-58</v>
      </c>
      <c r="N293" s="293">
        <f t="shared" si="102"/>
        <v>0</v>
      </c>
      <c r="O293" s="230">
        <f t="shared" si="102"/>
        <v>-55</v>
      </c>
      <c r="P293" s="293">
        <f t="shared" si="102"/>
        <v>0</v>
      </c>
      <c r="Q293" s="230">
        <f t="shared" si="102"/>
        <v>-80</v>
      </c>
      <c r="R293" s="293">
        <f t="shared" si="102"/>
        <v>0</v>
      </c>
      <c r="S293" s="230">
        <f t="shared" si="102"/>
        <v>-127</v>
      </c>
      <c r="T293" s="293">
        <f t="shared" si="102"/>
        <v>-0.10000000000000009</v>
      </c>
      <c r="U293" s="230">
        <f t="shared" si="102"/>
        <v>0</v>
      </c>
      <c r="V293" s="293">
        <f t="shared" si="102"/>
        <v>0</v>
      </c>
      <c r="W293" s="230">
        <f t="shared" si="102"/>
        <v>0</v>
      </c>
      <c r="X293" s="293">
        <f t="shared" si="102"/>
        <v>0</v>
      </c>
      <c r="Y293" s="230">
        <f t="shared" si="102"/>
        <v>-34</v>
      </c>
      <c r="Z293" s="293">
        <f t="shared" si="102"/>
        <v>0</v>
      </c>
    </row>
    <row r="294" spans="1:26" x14ac:dyDescent="0.2">
      <c r="A294" s="699"/>
      <c r="B294" s="272" t="s">
        <v>378</v>
      </c>
      <c r="C294" s="355"/>
      <c r="D294" s="356"/>
      <c r="E294" s="355"/>
      <c r="F294" s="356"/>
      <c r="G294" s="230">
        <f t="shared" si="102"/>
        <v>3053</v>
      </c>
      <c r="H294" s="293">
        <f t="shared" si="102"/>
        <v>10.100000000000001</v>
      </c>
      <c r="I294" s="230">
        <f t="shared" si="102"/>
        <v>56376</v>
      </c>
      <c r="J294" s="293">
        <f t="shared" si="102"/>
        <v>15.599999999999998</v>
      </c>
      <c r="K294" s="230">
        <f t="shared" si="102"/>
        <v>36894</v>
      </c>
      <c r="L294" s="293">
        <f t="shared" si="102"/>
        <v>15.299999999999997</v>
      </c>
      <c r="M294" s="230">
        <f t="shared" si="102"/>
        <v>49344</v>
      </c>
      <c r="N294" s="293">
        <f t="shared" si="102"/>
        <v>13.7</v>
      </c>
      <c r="O294" s="230">
        <f t="shared" si="102"/>
        <v>74949</v>
      </c>
      <c r="P294" s="293">
        <f t="shared" si="102"/>
        <v>20.799999999999997</v>
      </c>
      <c r="Q294" s="230">
        <f t="shared" si="102"/>
        <v>49932</v>
      </c>
      <c r="R294" s="293">
        <f t="shared" si="102"/>
        <v>20.799999999999997</v>
      </c>
      <c r="S294" s="230">
        <f t="shared" si="102"/>
        <v>83220</v>
      </c>
      <c r="T294" s="293">
        <f t="shared" si="102"/>
        <v>34.700000000000003</v>
      </c>
      <c r="U294" s="230">
        <f t="shared" si="102"/>
        <v>25800</v>
      </c>
      <c r="V294" s="293">
        <f t="shared" si="102"/>
        <v>8.1000000000000014</v>
      </c>
      <c r="W294" s="230">
        <f t="shared" si="102"/>
        <v>126388</v>
      </c>
      <c r="X294" s="293">
        <f t="shared" si="102"/>
        <v>35.100000000000009</v>
      </c>
      <c r="Y294" s="230">
        <f t="shared" si="102"/>
        <v>17539</v>
      </c>
      <c r="Z294" s="293">
        <f t="shared" si="102"/>
        <v>7.3000000000000007</v>
      </c>
    </row>
    <row r="295" spans="1:26" x14ac:dyDescent="0.2">
      <c r="A295" s="699"/>
      <c r="B295" s="272" t="s">
        <v>379</v>
      </c>
      <c r="C295" s="355"/>
      <c r="D295" s="356"/>
      <c r="E295" s="355"/>
      <c r="F295" s="356"/>
      <c r="G295" s="230">
        <f t="shared" si="102"/>
        <v>0</v>
      </c>
      <c r="H295" s="293">
        <f t="shared" si="102"/>
        <v>0</v>
      </c>
      <c r="I295" s="230">
        <f t="shared" si="102"/>
        <v>0</v>
      </c>
      <c r="J295" s="293">
        <f t="shared" si="102"/>
        <v>0</v>
      </c>
      <c r="K295" s="230">
        <f t="shared" si="102"/>
        <v>0</v>
      </c>
      <c r="L295" s="293">
        <f t="shared" si="102"/>
        <v>0</v>
      </c>
      <c r="M295" s="230">
        <f t="shared" si="102"/>
        <v>0</v>
      </c>
      <c r="N295" s="293">
        <f t="shared" si="102"/>
        <v>0</v>
      </c>
      <c r="O295" s="230">
        <f t="shared" si="102"/>
        <v>0</v>
      </c>
      <c r="P295" s="293">
        <f t="shared" si="102"/>
        <v>0</v>
      </c>
      <c r="Q295" s="230">
        <f t="shared" si="102"/>
        <v>0</v>
      </c>
      <c r="R295" s="293">
        <f t="shared" si="102"/>
        <v>0</v>
      </c>
      <c r="S295" s="230">
        <f t="shared" si="102"/>
        <v>0</v>
      </c>
      <c r="T295" s="293">
        <f t="shared" si="102"/>
        <v>0</v>
      </c>
      <c r="U295" s="230">
        <f t="shared" si="102"/>
        <v>0</v>
      </c>
      <c r="V295" s="293">
        <f t="shared" si="102"/>
        <v>0</v>
      </c>
      <c r="W295" s="230">
        <f t="shared" si="102"/>
        <v>0</v>
      </c>
      <c r="X295" s="293">
        <f t="shared" si="102"/>
        <v>0</v>
      </c>
      <c r="Y295" s="230">
        <f t="shared" si="102"/>
        <v>0</v>
      </c>
      <c r="Z295" s="293">
        <f t="shared" si="102"/>
        <v>0</v>
      </c>
    </row>
    <row r="296" spans="1:26" x14ac:dyDescent="0.2">
      <c r="A296" s="699"/>
      <c r="B296" s="272" t="s">
        <v>380</v>
      </c>
      <c r="C296" s="355"/>
      <c r="D296" s="356"/>
      <c r="E296" s="355"/>
      <c r="F296" s="356"/>
      <c r="G296" s="230">
        <f t="shared" si="102"/>
        <v>0</v>
      </c>
      <c r="H296" s="293">
        <f t="shared" si="102"/>
        <v>0</v>
      </c>
      <c r="I296" s="230">
        <f t="shared" si="102"/>
        <v>0</v>
      </c>
      <c r="J296" s="293">
        <f t="shared" si="102"/>
        <v>0</v>
      </c>
      <c r="K296" s="230">
        <f t="shared" si="102"/>
        <v>0</v>
      </c>
      <c r="L296" s="293">
        <f t="shared" si="102"/>
        <v>0</v>
      </c>
      <c r="M296" s="230">
        <f t="shared" si="102"/>
        <v>0</v>
      </c>
      <c r="N296" s="293">
        <f t="shared" si="102"/>
        <v>0</v>
      </c>
      <c r="O296" s="230">
        <f t="shared" si="102"/>
        <v>0</v>
      </c>
      <c r="P296" s="293">
        <f t="shared" si="102"/>
        <v>0</v>
      </c>
      <c r="Q296" s="230">
        <f t="shared" si="102"/>
        <v>0</v>
      </c>
      <c r="R296" s="293">
        <f t="shared" si="102"/>
        <v>0</v>
      </c>
      <c r="S296" s="230">
        <f t="shared" si="102"/>
        <v>0</v>
      </c>
      <c r="T296" s="293">
        <f t="shared" si="102"/>
        <v>0</v>
      </c>
      <c r="U296" s="230">
        <f t="shared" si="102"/>
        <v>0</v>
      </c>
      <c r="V296" s="293">
        <f t="shared" si="102"/>
        <v>0</v>
      </c>
      <c r="W296" s="230">
        <f t="shared" si="102"/>
        <v>0</v>
      </c>
      <c r="X296" s="293">
        <f t="shared" si="102"/>
        <v>0</v>
      </c>
      <c r="Y296" s="230">
        <f t="shared" si="102"/>
        <v>0</v>
      </c>
      <c r="Z296" s="293">
        <f t="shared" si="102"/>
        <v>0</v>
      </c>
    </row>
    <row r="297" spans="1:26" x14ac:dyDescent="0.2">
      <c r="A297" s="699"/>
      <c r="B297" s="272" t="s">
        <v>381</v>
      </c>
      <c r="C297" s="355"/>
      <c r="D297" s="356"/>
      <c r="E297" s="355"/>
      <c r="F297" s="356"/>
      <c r="G297" s="230">
        <f t="shared" si="102"/>
        <v>0</v>
      </c>
      <c r="H297" s="293">
        <f t="shared" si="102"/>
        <v>0</v>
      </c>
      <c r="I297" s="230">
        <f t="shared" si="102"/>
        <v>0</v>
      </c>
      <c r="J297" s="293">
        <f t="shared" si="102"/>
        <v>0</v>
      </c>
      <c r="K297" s="230">
        <f t="shared" si="102"/>
        <v>0</v>
      </c>
      <c r="L297" s="293">
        <f t="shared" si="102"/>
        <v>0</v>
      </c>
      <c r="M297" s="230">
        <f t="shared" si="102"/>
        <v>0</v>
      </c>
      <c r="N297" s="293">
        <f t="shared" si="102"/>
        <v>0</v>
      </c>
      <c r="O297" s="230">
        <f t="shared" si="102"/>
        <v>0</v>
      </c>
      <c r="P297" s="293">
        <f t="shared" si="102"/>
        <v>0</v>
      </c>
      <c r="Q297" s="230">
        <f t="shared" si="102"/>
        <v>0</v>
      </c>
      <c r="R297" s="293">
        <f t="shared" si="102"/>
        <v>0</v>
      </c>
      <c r="S297" s="230">
        <f t="shared" si="102"/>
        <v>0</v>
      </c>
      <c r="T297" s="293">
        <f t="shared" si="102"/>
        <v>0</v>
      </c>
      <c r="U297" s="230">
        <f t="shared" si="102"/>
        <v>0</v>
      </c>
      <c r="V297" s="293">
        <f t="shared" si="102"/>
        <v>0</v>
      </c>
      <c r="W297" s="230">
        <f t="shared" si="102"/>
        <v>0</v>
      </c>
      <c r="X297" s="293">
        <f t="shared" si="102"/>
        <v>0</v>
      </c>
      <c r="Y297" s="230">
        <f t="shared" si="102"/>
        <v>0</v>
      </c>
      <c r="Z297" s="293">
        <f t="shared" si="102"/>
        <v>0</v>
      </c>
    </row>
    <row r="298" spans="1:26" s="20" customFormat="1" x14ac:dyDescent="0.2">
      <c r="A298" s="700"/>
      <c r="B298" s="274" t="s">
        <v>1059</v>
      </c>
      <c r="C298" s="357"/>
      <c r="D298" s="358"/>
      <c r="E298" s="357"/>
      <c r="F298" s="358"/>
      <c r="G298" s="275">
        <f>SUM(G289:G297)</f>
        <v>438</v>
      </c>
      <c r="H298" s="294">
        <f>SUM(H289:H297)</f>
        <v>1.4000000000000128</v>
      </c>
      <c r="I298" s="275">
        <f>I294</f>
        <v>56376</v>
      </c>
      <c r="J298" s="294">
        <f>J294</f>
        <v>15.599999999999998</v>
      </c>
      <c r="K298" s="275">
        <f>SUM(K289:K297)</f>
        <v>4709</v>
      </c>
      <c r="L298" s="294">
        <f>SUM(L289:L297)</f>
        <v>1.9999999999999858</v>
      </c>
      <c r="M298" s="275">
        <f>M294</f>
        <v>49344</v>
      </c>
      <c r="N298" s="294">
        <f>N294</f>
        <v>13.7</v>
      </c>
      <c r="O298" s="275">
        <f>O294</f>
        <v>74949</v>
      </c>
      <c r="P298" s="294">
        <f>P294</f>
        <v>20.799999999999997</v>
      </c>
      <c r="Q298" s="275">
        <f>SUM(Q289:Q297)</f>
        <v>5527</v>
      </c>
      <c r="R298" s="294">
        <f>SUM(R289:R297)</f>
        <v>2.3000000000000256</v>
      </c>
      <c r="S298" s="275">
        <f>S294</f>
        <v>83220</v>
      </c>
      <c r="T298" s="294">
        <f>T294</f>
        <v>34.700000000000003</v>
      </c>
      <c r="U298" s="275">
        <f>SUM(U289:U297)</f>
        <v>4076</v>
      </c>
      <c r="V298" s="294">
        <f>SUM(V289:V297)</f>
        <v>1.2999999999999901</v>
      </c>
      <c r="W298" s="275">
        <f>W294</f>
        <v>126388</v>
      </c>
      <c r="X298" s="294">
        <f>X294</f>
        <v>35.100000000000009</v>
      </c>
      <c r="Y298" s="275">
        <f>Y294</f>
        <v>17539</v>
      </c>
      <c r="Z298" s="294">
        <f>Z294</f>
        <v>7.3000000000000007</v>
      </c>
    </row>
    <row r="299" spans="1:26" s="227" customFormat="1" x14ac:dyDescent="0.2">
      <c r="A299" s="386"/>
      <c r="B299" s="195"/>
      <c r="C299" s="268"/>
      <c r="D299" s="268"/>
      <c r="E299" s="268"/>
      <c r="F299" s="268"/>
      <c r="G299" s="268"/>
      <c r="H299" s="268"/>
      <c r="I299" s="268"/>
      <c r="J299" s="268"/>
      <c r="K299" s="268"/>
      <c r="L299" s="268"/>
      <c r="M299" s="268"/>
      <c r="N299" s="268"/>
      <c r="O299" s="268"/>
      <c r="P299" s="268"/>
      <c r="Q299" s="268"/>
      <c r="R299" s="268"/>
      <c r="S299" s="268"/>
      <c r="T299" s="268"/>
      <c r="U299" s="268"/>
      <c r="V299" s="268"/>
      <c r="W299" s="268"/>
      <c r="X299" s="268"/>
      <c r="Y299" s="268"/>
      <c r="Z299" s="268"/>
    </row>
    <row r="300" spans="1:26" s="202" customFormat="1" ht="13.15" customHeight="1" x14ac:dyDescent="0.2">
      <c r="A300" s="698" t="s">
        <v>579</v>
      </c>
      <c r="B300" s="269" t="s">
        <v>488</v>
      </c>
      <c r="C300" s="368" t="s">
        <v>486</v>
      </c>
      <c r="D300" s="369" t="s">
        <v>487</v>
      </c>
      <c r="E300" s="368" t="s">
        <v>486</v>
      </c>
      <c r="F300" s="369" t="s">
        <v>487</v>
      </c>
      <c r="G300" s="368" t="s">
        <v>486</v>
      </c>
      <c r="H300" s="369" t="s">
        <v>487</v>
      </c>
      <c r="I300" s="304" t="s">
        <v>486</v>
      </c>
      <c r="J300" s="280" t="s">
        <v>487</v>
      </c>
      <c r="K300" s="368" t="s">
        <v>486</v>
      </c>
      <c r="L300" s="369" t="s">
        <v>487</v>
      </c>
      <c r="M300" s="304" t="s">
        <v>486</v>
      </c>
      <c r="N300" s="280" t="s">
        <v>487</v>
      </c>
      <c r="O300" s="304" t="s">
        <v>486</v>
      </c>
      <c r="P300" s="280" t="s">
        <v>487</v>
      </c>
      <c r="Q300" s="368" t="s">
        <v>486</v>
      </c>
      <c r="R300" s="369" t="s">
        <v>487</v>
      </c>
      <c r="S300" s="304" t="s">
        <v>486</v>
      </c>
      <c r="T300" s="280" t="s">
        <v>487</v>
      </c>
      <c r="U300" s="368" t="s">
        <v>486</v>
      </c>
      <c r="V300" s="369" t="s">
        <v>487</v>
      </c>
      <c r="W300" s="304" t="s">
        <v>486</v>
      </c>
      <c r="X300" s="280" t="s">
        <v>487</v>
      </c>
      <c r="Y300" s="304" t="s">
        <v>486</v>
      </c>
      <c r="Z300" s="314" t="s">
        <v>487</v>
      </c>
    </row>
    <row r="301" spans="1:26" s="202" customFormat="1" ht="13.15" customHeight="1" x14ac:dyDescent="0.2">
      <c r="A301" s="699"/>
      <c r="B301" s="581" t="s">
        <v>580</v>
      </c>
      <c r="C301" s="582"/>
      <c r="D301" s="583"/>
      <c r="E301" s="582"/>
      <c r="F301" s="583"/>
      <c r="G301" s="582"/>
      <c r="H301" s="583"/>
      <c r="I301" s="586">
        <v>0.75</v>
      </c>
      <c r="J301" s="585"/>
      <c r="K301" s="582"/>
      <c r="L301" s="583"/>
      <c r="M301" s="586">
        <v>0.75</v>
      </c>
      <c r="N301" s="585"/>
      <c r="O301" s="586">
        <v>0.75</v>
      </c>
      <c r="P301" s="585"/>
      <c r="Q301" s="582"/>
      <c r="R301" s="583"/>
      <c r="S301" s="586">
        <v>0.75</v>
      </c>
      <c r="T301" s="585"/>
      <c r="U301" s="582"/>
      <c r="V301" s="583"/>
      <c r="W301" s="586">
        <v>0.75</v>
      </c>
      <c r="X301" s="585"/>
      <c r="Y301" s="586">
        <v>0.75</v>
      </c>
      <c r="Z301" s="587"/>
    </row>
    <row r="302" spans="1:26" s="202" customFormat="1" ht="13.15" customHeight="1" x14ac:dyDescent="0.2">
      <c r="A302" s="699"/>
      <c r="B302" s="581" t="s">
        <v>582</v>
      </c>
      <c r="C302" s="582"/>
      <c r="D302" s="583"/>
      <c r="E302" s="582"/>
      <c r="F302" s="583"/>
      <c r="G302" s="582"/>
      <c r="H302" s="583"/>
      <c r="I302" s="584"/>
      <c r="J302" s="585">
        <v>0.08</v>
      </c>
      <c r="K302" s="582"/>
      <c r="L302" s="583"/>
      <c r="M302" s="584"/>
      <c r="N302" s="585">
        <v>0.08</v>
      </c>
      <c r="O302" s="584"/>
      <c r="P302" s="585">
        <v>0.08</v>
      </c>
      <c r="Q302" s="582"/>
      <c r="R302" s="583"/>
      <c r="S302" s="584"/>
      <c r="T302" s="585">
        <v>0.08</v>
      </c>
      <c r="U302" s="582"/>
      <c r="V302" s="583"/>
      <c r="W302" s="584"/>
      <c r="X302" s="585">
        <v>0.08</v>
      </c>
      <c r="Y302" s="584"/>
      <c r="Z302" s="587">
        <v>0.08</v>
      </c>
    </row>
    <row r="303" spans="1:26" s="202" customFormat="1" ht="13.15" customHeight="1" x14ac:dyDescent="0.2">
      <c r="A303" s="699"/>
      <c r="B303" s="581" t="s">
        <v>581</v>
      </c>
      <c r="C303" s="582"/>
      <c r="D303" s="583"/>
      <c r="E303" s="582"/>
      <c r="F303" s="583"/>
      <c r="G303" s="582"/>
      <c r="H303" s="583"/>
      <c r="I303" s="584"/>
      <c r="J303" s="585">
        <v>0.45</v>
      </c>
      <c r="K303" s="582"/>
      <c r="L303" s="583"/>
      <c r="M303" s="584"/>
      <c r="N303" s="585">
        <v>0.45</v>
      </c>
      <c r="O303" s="584"/>
      <c r="P303" s="585">
        <v>0.45</v>
      </c>
      <c r="Q303" s="582"/>
      <c r="R303" s="583"/>
      <c r="S303" s="584"/>
      <c r="T303" s="585">
        <v>0.45</v>
      </c>
      <c r="U303" s="582"/>
      <c r="V303" s="583"/>
      <c r="W303" s="584"/>
      <c r="X303" s="585">
        <v>0.45</v>
      </c>
      <c r="Y303" s="584"/>
      <c r="Z303" s="587">
        <v>0.45</v>
      </c>
    </row>
    <row r="304" spans="1:26" x14ac:dyDescent="0.2">
      <c r="A304" s="699"/>
      <c r="B304" s="316" t="s">
        <v>583</v>
      </c>
      <c r="C304" s="372"/>
      <c r="D304" s="381"/>
      <c r="E304" s="372"/>
      <c r="F304" s="381"/>
      <c r="G304" s="372"/>
      <c r="H304" s="381"/>
      <c r="I304" s="305"/>
      <c r="J304" s="366" t="s">
        <v>584</v>
      </c>
      <c r="K304" s="372"/>
      <c r="L304" s="381"/>
      <c r="M304" s="305"/>
      <c r="N304" s="366" t="s">
        <v>584</v>
      </c>
      <c r="O304" s="305"/>
      <c r="P304" s="366" t="s">
        <v>584</v>
      </c>
      <c r="Q304" s="372"/>
      <c r="R304" s="381"/>
      <c r="S304" s="305"/>
      <c r="T304" s="366" t="s">
        <v>584</v>
      </c>
      <c r="U304" s="372"/>
      <c r="V304" s="381"/>
      <c r="W304" s="305"/>
      <c r="X304" s="366" t="s">
        <v>584</v>
      </c>
      <c r="Y304" s="305"/>
      <c r="Z304" s="588" t="s">
        <v>584</v>
      </c>
    </row>
    <row r="305" spans="1:27" s="45" customFormat="1" x14ac:dyDescent="0.2">
      <c r="A305" s="699"/>
      <c r="B305" s="316" t="s">
        <v>960</v>
      </c>
      <c r="C305" s="377"/>
      <c r="D305" s="381"/>
      <c r="E305" s="377"/>
      <c r="F305" s="381"/>
      <c r="G305" s="377"/>
      <c r="H305" s="381"/>
      <c r="I305" s="235"/>
      <c r="J305" s="366"/>
      <c r="K305" s="377"/>
      <c r="L305" s="381"/>
      <c r="M305" s="235"/>
      <c r="N305" s="366"/>
      <c r="O305" s="235"/>
      <c r="P305" s="366"/>
      <c r="Q305" s="377"/>
      <c r="R305" s="381"/>
      <c r="S305" s="235"/>
      <c r="T305" s="366"/>
      <c r="U305" s="377"/>
      <c r="V305" s="381"/>
      <c r="W305" s="235"/>
      <c r="X305" s="366"/>
      <c r="Y305" s="235"/>
      <c r="Z305" s="588"/>
      <c r="AA305" s="576"/>
    </row>
    <row r="306" spans="1:27" s="45" customFormat="1" x14ac:dyDescent="0.2">
      <c r="A306" s="699"/>
      <c r="B306" s="316" t="s">
        <v>961</v>
      </c>
      <c r="C306" s="377"/>
      <c r="D306" s="381"/>
      <c r="E306" s="377"/>
      <c r="F306" s="381"/>
      <c r="G306" s="377"/>
      <c r="H306" s="381"/>
      <c r="I306" s="235"/>
      <c r="J306" s="366"/>
      <c r="K306" s="377"/>
      <c r="L306" s="381"/>
      <c r="M306" s="235"/>
      <c r="N306" s="366"/>
      <c r="O306" s="235"/>
      <c r="P306" s="366"/>
      <c r="Q306" s="377"/>
      <c r="R306" s="381"/>
      <c r="S306" s="235"/>
      <c r="T306" s="366"/>
      <c r="U306" s="377"/>
      <c r="V306" s="381"/>
      <c r="W306" s="235"/>
      <c r="X306" s="366"/>
      <c r="Y306" s="235"/>
      <c r="Z306" s="588"/>
      <c r="AA306" s="576"/>
    </row>
    <row r="307" spans="1:27" s="45" customFormat="1" x14ac:dyDescent="0.2">
      <c r="A307" s="699"/>
      <c r="B307" s="316" t="s">
        <v>957</v>
      </c>
      <c r="C307" s="377"/>
      <c r="D307" s="381"/>
      <c r="E307" s="377"/>
      <c r="F307" s="381"/>
      <c r="G307" s="377"/>
      <c r="H307" s="381"/>
      <c r="I307" s="235"/>
      <c r="J307" s="366"/>
      <c r="K307" s="377"/>
      <c r="L307" s="381"/>
      <c r="M307" s="235"/>
      <c r="N307" s="366"/>
      <c r="O307" s="235"/>
      <c r="P307" s="366"/>
      <c r="Q307" s="377"/>
      <c r="R307" s="381"/>
      <c r="S307" s="235"/>
      <c r="T307" s="366"/>
      <c r="U307" s="377"/>
      <c r="V307" s="381"/>
      <c r="W307" s="235"/>
      <c r="X307" s="366"/>
      <c r="Y307" s="589"/>
      <c r="Z307" s="590"/>
      <c r="AA307" s="576"/>
    </row>
    <row r="308" spans="1:27" s="574" customFormat="1" x14ac:dyDescent="0.2">
      <c r="A308" s="699"/>
      <c r="B308" s="288" t="s">
        <v>489</v>
      </c>
      <c r="C308" s="353" t="s">
        <v>372</v>
      </c>
      <c r="D308" s="374" t="s">
        <v>397</v>
      </c>
      <c r="E308" s="353" t="s">
        <v>372</v>
      </c>
      <c r="F308" s="374" t="s">
        <v>397</v>
      </c>
      <c r="G308" s="353" t="s">
        <v>372</v>
      </c>
      <c r="H308" s="374" t="s">
        <v>397</v>
      </c>
      <c r="I308" s="289" t="s">
        <v>372</v>
      </c>
      <c r="J308" s="290" t="s">
        <v>397</v>
      </c>
      <c r="K308" s="353" t="s">
        <v>372</v>
      </c>
      <c r="L308" s="374" t="s">
        <v>397</v>
      </c>
      <c r="M308" s="289" t="s">
        <v>372</v>
      </c>
      <c r="N308" s="290" t="s">
        <v>397</v>
      </c>
      <c r="O308" s="289" t="s">
        <v>372</v>
      </c>
      <c r="P308" s="290" t="s">
        <v>397</v>
      </c>
      <c r="Q308" s="353" t="s">
        <v>372</v>
      </c>
      <c r="R308" s="374" t="s">
        <v>397</v>
      </c>
      <c r="S308" s="289" t="s">
        <v>372</v>
      </c>
      <c r="T308" s="290" t="s">
        <v>397</v>
      </c>
      <c r="U308" s="353" t="s">
        <v>372</v>
      </c>
      <c r="V308" s="374" t="s">
        <v>397</v>
      </c>
      <c r="W308" s="289" t="s">
        <v>372</v>
      </c>
      <c r="X308" s="290" t="s">
        <v>397</v>
      </c>
      <c r="Y308" s="289" t="s">
        <v>372</v>
      </c>
      <c r="Z308" s="290" t="s">
        <v>397</v>
      </c>
      <c r="AA308" s="573"/>
    </row>
    <row r="309" spans="1:27" s="45" customFormat="1" x14ac:dyDescent="0.2">
      <c r="A309" s="699"/>
      <c r="B309" s="577" t="s">
        <v>373</v>
      </c>
      <c r="C309" s="377"/>
      <c r="D309" s="381"/>
      <c r="E309" s="377"/>
      <c r="F309" s="381"/>
      <c r="G309" s="377"/>
      <c r="H309" s="381"/>
      <c r="I309" s="230">
        <v>636676</v>
      </c>
      <c r="J309" s="231">
        <v>176.9</v>
      </c>
      <c r="K309" s="377"/>
      <c r="L309" s="381"/>
      <c r="M309" s="230">
        <v>666916</v>
      </c>
      <c r="N309" s="231">
        <v>185.3</v>
      </c>
      <c r="O309" s="230">
        <v>775637</v>
      </c>
      <c r="P309" s="231">
        <v>215.5</v>
      </c>
      <c r="Q309" s="377"/>
      <c r="R309" s="381"/>
      <c r="S309" s="230">
        <v>581684</v>
      </c>
      <c r="T309" s="231">
        <v>242.4</v>
      </c>
      <c r="U309" s="377"/>
      <c r="V309" s="381"/>
      <c r="W309" s="230">
        <v>684976</v>
      </c>
      <c r="X309" s="231">
        <v>190.3</v>
      </c>
      <c r="Y309" s="230">
        <v>639028</v>
      </c>
      <c r="Z309" s="231">
        <v>266.3</v>
      </c>
      <c r="AA309" s="572"/>
    </row>
    <row r="310" spans="1:27" s="45" customFormat="1" x14ac:dyDescent="0.2">
      <c r="A310" s="699"/>
      <c r="B310" s="577" t="s">
        <v>374</v>
      </c>
      <c r="C310" s="377"/>
      <c r="D310" s="381"/>
      <c r="E310" s="377"/>
      <c r="F310" s="381"/>
      <c r="G310" s="377"/>
      <c r="H310" s="381"/>
      <c r="I310" s="230">
        <v>191512</v>
      </c>
      <c r="J310" s="231">
        <v>53.2</v>
      </c>
      <c r="K310" s="377"/>
      <c r="L310" s="381"/>
      <c r="M310" s="230">
        <v>249655</v>
      </c>
      <c r="N310" s="231">
        <v>69.3</v>
      </c>
      <c r="O310" s="230">
        <v>583340</v>
      </c>
      <c r="P310" s="231">
        <v>162</v>
      </c>
      <c r="Q310" s="377"/>
      <c r="R310" s="381"/>
      <c r="S310" s="230">
        <v>227516</v>
      </c>
      <c r="T310" s="231">
        <v>94.8</v>
      </c>
      <c r="U310" s="377"/>
      <c r="V310" s="381"/>
      <c r="W310" s="230">
        <v>441100</v>
      </c>
      <c r="X310" s="231">
        <v>122.5</v>
      </c>
      <c r="Y310" s="230">
        <v>140845</v>
      </c>
      <c r="Z310" s="231">
        <v>58.7</v>
      </c>
      <c r="AA310" s="572"/>
    </row>
    <row r="311" spans="1:27" s="45" customFormat="1" x14ac:dyDescent="0.2">
      <c r="A311" s="699"/>
      <c r="B311" s="577" t="s">
        <v>375</v>
      </c>
      <c r="C311" s="377"/>
      <c r="D311" s="381"/>
      <c r="E311" s="377"/>
      <c r="F311" s="381"/>
      <c r="G311" s="377"/>
      <c r="H311" s="381"/>
      <c r="I311" s="230">
        <v>18040</v>
      </c>
      <c r="J311" s="231">
        <v>5</v>
      </c>
      <c r="K311" s="377"/>
      <c r="L311" s="381"/>
      <c r="M311" s="230">
        <v>18040</v>
      </c>
      <c r="N311" s="231">
        <v>5</v>
      </c>
      <c r="O311" s="230">
        <v>107170</v>
      </c>
      <c r="P311" s="231">
        <v>29.8</v>
      </c>
      <c r="Q311" s="377"/>
      <c r="R311" s="381"/>
      <c r="S311" s="230">
        <v>71482</v>
      </c>
      <c r="T311" s="231">
        <v>29.8</v>
      </c>
      <c r="U311" s="377"/>
      <c r="V311" s="381"/>
      <c r="W311" s="230">
        <v>36408</v>
      </c>
      <c r="X311" s="231">
        <v>10.1</v>
      </c>
      <c r="Y311" s="230">
        <v>24054</v>
      </c>
      <c r="Z311" s="231">
        <v>10</v>
      </c>
      <c r="AA311" s="572"/>
    </row>
    <row r="312" spans="1:27" s="45" customFormat="1" x14ac:dyDescent="0.2">
      <c r="A312" s="699"/>
      <c r="B312" s="577" t="s">
        <v>376</v>
      </c>
      <c r="C312" s="377"/>
      <c r="D312" s="381"/>
      <c r="E312" s="377"/>
      <c r="F312" s="381"/>
      <c r="G312" s="377"/>
      <c r="H312" s="381"/>
      <c r="I312" s="230">
        <v>156600</v>
      </c>
      <c r="J312" s="231">
        <v>43.5</v>
      </c>
      <c r="K312" s="377"/>
      <c r="L312" s="381"/>
      <c r="M312" s="230">
        <v>203537</v>
      </c>
      <c r="N312" s="231">
        <v>56.5</v>
      </c>
      <c r="O312" s="230">
        <v>454117</v>
      </c>
      <c r="P312" s="231">
        <v>126.1</v>
      </c>
      <c r="Q312" s="377"/>
      <c r="R312" s="381"/>
      <c r="S312" s="230">
        <v>184952</v>
      </c>
      <c r="T312" s="231">
        <v>77.099999999999994</v>
      </c>
      <c r="U312" s="377"/>
      <c r="V312" s="381"/>
      <c r="W312" s="230">
        <v>374400</v>
      </c>
      <c r="X312" s="231">
        <v>104</v>
      </c>
      <c r="Y312" s="230">
        <v>116928</v>
      </c>
      <c r="Z312" s="231">
        <v>48.7</v>
      </c>
      <c r="AA312" s="572"/>
    </row>
    <row r="313" spans="1:27" s="45" customFormat="1" x14ac:dyDescent="0.2">
      <c r="A313" s="699"/>
      <c r="B313" s="577" t="s">
        <v>377</v>
      </c>
      <c r="C313" s="377"/>
      <c r="D313" s="381"/>
      <c r="E313" s="377"/>
      <c r="F313" s="381"/>
      <c r="G313" s="377"/>
      <c r="H313" s="381"/>
      <c r="I313" s="230">
        <v>13169</v>
      </c>
      <c r="J313" s="231">
        <v>3.7</v>
      </c>
      <c r="K313" s="377"/>
      <c r="L313" s="381"/>
      <c r="M313" s="230">
        <v>14424</v>
      </c>
      <c r="N313" s="231">
        <v>4</v>
      </c>
      <c r="O313" s="230">
        <v>16392</v>
      </c>
      <c r="P313" s="231">
        <v>4.5999999999999996</v>
      </c>
      <c r="Q313" s="377"/>
      <c r="R313" s="381"/>
      <c r="S313" s="230">
        <v>9283</v>
      </c>
      <c r="T313" s="231">
        <v>3.9</v>
      </c>
      <c r="U313" s="377"/>
      <c r="V313" s="381"/>
      <c r="W313" s="230">
        <v>18658</v>
      </c>
      <c r="X313" s="231">
        <v>5.2</v>
      </c>
      <c r="Y313" s="230">
        <v>10094</v>
      </c>
      <c r="Z313" s="231">
        <v>4.2</v>
      </c>
      <c r="AA313" s="572"/>
    </row>
    <row r="314" spans="1:27" s="45" customFormat="1" x14ac:dyDescent="0.2">
      <c r="A314" s="699"/>
      <c r="B314" s="577" t="s">
        <v>378</v>
      </c>
      <c r="C314" s="377"/>
      <c r="D314" s="381"/>
      <c r="E314" s="377"/>
      <c r="F314" s="381"/>
      <c r="G314" s="377"/>
      <c r="H314" s="381"/>
      <c r="I314" s="230">
        <v>211453</v>
      </c>
      <c r="J314" s="231">
        <v>58.7</v>
      </c>
      <c r="K314" s="377"/>
      <c r="L314" s="381"/>
      <c r="M314" s="230">
        <v>211453</v>
      </c>
      <c r="N314" s="231">
        <v>58.7</v>
      </c>
      <c r="O314" s="230">
        <v>374581</v>
      </c>
      <c r="P314" s="231">
        <v>104.1</v>
      </c>
      <c r="Q314" s="377"/>
      <c r="R314" s="381"/>
      <c r="S314" s="230">
        <v>249557</v>
      </c>
      <c r="T314" s="231">
        <v>104</v>
      </c>
      <c r="U314" s="377"/>
      <c r="V314" s="381"/>
      <c r="W314" s="230">
        <v>473873</v>
      </c>
      <c r="X314" s="231">
        <v>131.6</v>
      </c>
      <c r="Y314" s="230">
        <v>131544</v>
      </c>
      <c r="Z314" s="231">
        <v>54.8</v>
      </c>
      <c r="AA314" s="572"/>
    </row>
    <row r="315" spans="1:27" s="45" customFormat="1" x14ac:dyDescent="0.2">
      <c r="A315" s="699"/>
      <c r="B315" s="577" t="s">
        <v>379</v>
      </c>
      <c r="C315" s="377"/>
      <c r="D315" s="381"/>
      <c r="E315" s="377"/>
      <c r="F315" s="381"/>
      <c r="G315" s="377"/>
      <c r="H315" s="381"/>
      <c r="I315" s="230">
        <v>155070</v>
      </c>
      <c r="J315" s="231">
        <v>43.1</v>
      </c>
      <c r="K315" s="377"/>
      <c r="L315" s="381"/>
      <c r="M315" s="230">
        <v>155070</v>
      </c>
      <c r="N315" s="231">
        <v>43.1</v>
      </c>
      <c r="O315" s="230">
        <v>199728</v>
      </c>
      <c r="P315" s="231">
        <v>55.5</v>
      </c>
      <c r="Q315" s="377"/>
      <c r="R315" s="381"/>
      <c r="S315" s="230">
        <v>16644</v>
      </c>
      <c r="T315" s="231">
        <v>6.9</v>
      </c>
      <c r="U315" s="377"/>
      <c r="V315" s="381"/>
      <c r="W315" s="230">
        <v>16848</v>
      </c>
      <c r="X315" s="231">
        <v>4.7</v>
      </c>
      <c r="Y315" s="230">
        <v>8770</v>
      </c>
      <c r="Z315" s="231">
        <v>3.7</v>
      </c>
      <c r="AA315" s="572"/>
    </row>
    <row r="316" spans="1:27" s="45" customFormat="1" x14ac:dyDescent="0.2">
      <c r="A316" s="699"/>
      <c r="B316" s="577" t="s">
        <v>380</v>
      </c>
      <c r="C316" s="377"/>
      <c r="D316" s="381"/>
      <c r="E316" s="377"/>
      <c r="F316" s="381"/>
      <c r="G316" s="377"/>
      <c r="H316" s="381"/>
      <c r="I316" s="230">
        <v>64944</v>
      </c>
      <c r="J316" s="231">
        <v>18</v>
      </c>
      <c r="K316" s="377"/>
      <c r="L316" s="381"/>
      <c r="M316" s="230">
        <v>44905</v>
      </c>
      <c r="N316" s="231">
        <v>12.5</v>
      </c>
      <c r="O316" s="230">
        <v>18774</v>
      </c>
      <c r="P316" s="231">
        <v>5.2</v>
      </c>
      <c r="Q316" s="377"/>
      <c r="R316" s="381"/>
      <c r="S316" s="230">
        <v>11508</v>
      </c>
      <c r="T316" s="231">
        <v>4.8</v>
      </c>
      <c r="U316" s="377"/>
      <c r="V316" s="381"/>
      <c r="W316" s="230">
        <v>38523</v>
      </c>
      <c r="X316" s="231">
        <v>10.7</v>
      </c>
      <c r="Y316" s="230">
        <v>7440</v>
      </c>
      <c r="Z316" s="231">
        <v>3.1</v>
      </c>
      <c r="AA316" s="572"/>
    </row>
    <row r="317" spans="1:27" s="45" customFormat="1" x14ac:dyDescent="0.2">
      <c r="A317" s="699"/>
      <c r="B317" s="577" t="s">
        <v>381</v>
      </c>
      <c r="C317" s="377"/>
      <c r="D317" s="381"/>
      <c r="E317" s="377"/>
      <c r="F317" s="381"/>
      <c r="G317" s="377"/>
      <c r="H317" s="381"/>
      <c r="I317" s="230">
        <v>15189</v>
      </c>
      <c r="J317" s="231">
        <v>4.2</v>
      </c>
      <c r="K317" s="377"/>
      <c r="L317" s="381"/>
      <c r="M317" s="230">
        <v>19564</v>
      </c>
      <c r="N317" s="231">
        <v>5.4</v>
      </c>
      <c r="O317" s="230">
        <v>35827</v>
      </c>
      <c r="P317" s="231">
        <v>10</v>
      </c>
      <c r="Q317" s="377"/>
      <c r="R317" s="381"/>
      <c r="S317" s="230">
        <v>15619</v>
      </c>
      <c r="T317" s="231">
        <v>6.5</v>
      </c>
      <c r="U317" s="377"/>
      <c r="V317" s="381"/>
      <c r="W317" s="230">
        <v>38223</v>
      </c>
      <c r="X317" s="231">
        <v>10.6</v>
      </c>
      <c r="Y317" s="230">
        <v>12151</v>
      </c>
      <c r="Z317" s="231">
        <v>5.0999999999999996</v>
      </c>
      <c r="AA317" s="572"/>
    </row>
    <row r="318" spans="1:27" s="37" customFormat="1" x14ac:dyDescent="0.2">
      <c r="A318" s="699"/>
      <c r="B318" s="274" t="s">
        <v>382</v>
      </c>
      <c r="C318" s="578"/>
      <c r="D318" s="579"/>
      <c r="E318" s="578"/>
      <c r="F318" s="579"/>
      <c r="G318" s="578"/>
      <c r="H318" s="579"/>
      <c r="I318" s="228">
        <v>1462653</v>
      </c>
      <c r="J318" s="232">
        <v>406.3</v>
      </c>
      <c r="K318" s="580"/>
      <c r="L318" s="579"/>
      <c r="M318" s="228">
        <v>1583565</v>
      </c>
      <c r="N318" s="232">
        <v>439.9</v>
      </c>
      <c r="O318" s="228">
        <v>2565566</v>
      </c>
      <c r="P318" s="232">
        <v>712.7</v>
      </c>
      <c r="Q318" s="578"/>
      <c r="R318" s="579"/>
      <c r="S318" s="228">
        <v>1368246</v>
      </c>
      <c r="T318" s="232">
        <v>570.1</v>
      </c>
      <c r="U318" s="578"/>
      <c r="V318" s="579"/>
      <c r="W318" s="228">
        <v>2123009</v>
      </c>
      <c r="X318" s="232">
        <v>589.70000000000005</v>
      </c>
      <c r="Y318" s="228">
        <v>1090854</v>
      </c>
      <c r="Z318" s="232">
        <v>454.5</v>
      </c>
      <c r="AA318" s="575"/>
    </row>
    <row r="319" spans="1:27" s="574" customFormat="1" x14ac:dyDescent="0.2">
      <c r="A319" s="699"/>
      <c r="B319" s="288" t="s">
        <v>490</v>
      </c>
      <c r="C319" s="353" t="s">
        <v>372</v>
      </c>
      <c r="D319" s="374" t="s">
        <v>397</v>
      </c>
      <c r="E319" s="353" t="s">
        <v>372</v>
      </c>
      <c r="F319" s="374" t="s">
        <v>397</v>
      </c>
      <c r="G319" s="353" t="s">
        <v>372</v>
      </c>
      <c r="H319" s="374" t="s">
        <v>397</v>
      </c>
      <c r="I319" s="289" t="s">
        <v>372</v>
      </c>
      <c r="J319" s="291" t="s">
        <v>397</v>
      </c>
      <c r="K319" s="380" t="s">
        <v>372</v>
      </c>
      <c r="L319" s="374" t="s">
        <v>397</v>
      </c>
      <c r="M319" s="289" t="s">
        <v>372</v>
      </c>
      <c r="N319" s="291" t="s">
        <v>397</v>
      </c>
      <c r="O319" s="289" t="s">
        <v>372</v>
      </c>
      <c r="P319" s="291" t="s">
        <v>397</v>
      </c>
      <c r="Q319" s="353" t="s">
        <v>372</v>
      </c>
      <c r="R319" s="374" t="s">
        <v>397</v>
      </c>
      <c r="S319" s="289" t="s">
        <v>372</v>
      </c>
      <c r="T319" s="291" t="s">
        <v>397</v>
      </c>
      <c r="U319" s="353" t="s">
        <v>372</v>
      </c>
      <c r="V319" s="374" t="s">
        <v>397</v>
      </c>
      <c r="W319" s="289" t="s">
        <v>372</v>
      </c>
      <c r="X319" s="291" t="s">
        <v>397</v>
      </c>
      <c r="Y319" s="289" t="s">
        <v>372</v>
      </c>
      <c r="Z319" s="291" t="s">
        <v>397</v>
      </c>
    </row>
    <row r="320" spans="1:27" s="45" customFormat="1" x14ac:dyDescent="0.2">
      <c r="A320" s="699"/>
      <c r="B320" s="577" t="s">
        <v>373</v>
      </c>
      <c r="C320" s="355"/>
      <c r="D320" s="375"/>
      <c r="E320" s="355"/>
      <c r="F320" s="376"/>
      <c r="G320" s="384"/>
      <c r="H320" s="375"/>
      <c r="I320" s="230">
        <v>688518</v>
      </c>
      <c r="J320" s="273">
        <v>191.3</v>
      </c>
      <c r="K320" s="384"/>
      <c r="L320" s="375"/>
      <c r="M320" s="230">
        <v>715997</v>
      </c>
      <c r="N320" s="231">
        <v>198.9</v>
      </c>
      <c r="O320" s="230">
        <v>834268</v>
      </c>
      <c r="P320" s="273">
        <v>231.7</v>
      </c>
      <c r="Q320" s="355"/>
      <c r="R320" s="375"/>
      <c r="S320" s="230">
        <v>624797</v>
      </c>
      <c r="T320" s="273">
        <v>260.3</v>
      </c>
      <c r="U320" s="355"/>
      <c r="V320" s="375"/>
      <c r="W320" s="230">
        <v>734739</v>
      </c>
      <c r="X320" s="273">
        <v>204.1</v>
      </c>
      <c r="Y320" s="230">
        <v>688919</v>
      </c>
      <c r="Z320" s="273">
        <v>287</v>
      </c>
    </row>
    <row r="321" spans="1:27" s="45" customFormat="1" x14ac:dyDescent="0.2">
      <c r="A321" s="699"/>
      <c r="B321" s="577" t="s">
        <v>374</v>
      </c>
      <c r="C321" s="355"/>
      <c r="D321" s="375"/>
      <c r="E321" s="355"/>
      <c r="F321" s="376"/>
      <c r="G321" s="384"/>
      <c r="H321" s="375"/>
      <c r="I321" s="230">
        <v>192980</v>
      </c>
      <c r="J321" s="273">
        <v>53.6</v>
      </c>
      <c r="K321" s="384"/>
      <c r="L321" s="375"/>
      <c r="M321" s="230">
        <v>251142</v>
      </c>
      <c r="N321" s="231">
        <v>69.8</v>
      </c>
      <c r="O321" s="230">
        <v>584713</v>
      </c>
      <c r="P321" s="273">
        <v>162.4</v>
      </c>
      <c r="Q321" s="355"/>
      <c r="R321" s="375"/>
      <c r="S321" s="230">
        <v>227899</v>
      </c>
      <c r="T321" s="273">
        <v>95</v>
      </c>
      <c r="U321" s="355"/>
      <c r="V321" s="375"/>
      <c r="W321" s="230">
        <v>442934</v>
      </c>
      <c r="X321" s="273">
        <v>123</v>
      </c>
      <c r="Y321" s="230">
        <v>140987</v>
      </c>
      <c r="Z321" s="273">
        <v>58.7</v>
      </c>
    </row>
    <row r="322" spans="1:27" s="45" customFormat="1" x14ac:dyDescent="0.2">
      <c r="A322" s="699"/>
      <c r="B322" s="577" t="s">
        <v>375</v>
      </c>
      <c r="C322" s="355"/>
      <c r="D322" s="375"/>
      <c r="E322" s="355"/>
      <c r="F322" s="376"/>
      <c r="G322" s="384"/>
      <c r="H322" s="375"/>
      <c r="I322" s="230">
        <v>18040</v>
      </c>
      <c r="J322" s="273">
        <v>5</v>
      </c>
      <c r="K322" s="384"/>
      <c r="L322" s="375"/>
      <c r="M322" s="230">
        <v>18040</v>
      </c>
      <c r="N322" s="231">
        <v>5</v>
      </c>
      <c r="O322" s="230">
        <v>107170</v>
      </c>
      <c r="P322" s="273">
        <v>29.8</v>
      </c>
      <c r="Q322" s="355"/>
      <c r="R322" s="375"/>
      <c r="S322" s="230">
        <v>71482</v>
      </c>
      <c r="T322" s="273">
        <v>29.8</v>
      </c>
      <c r="U322" s="355"/>
      <c r="V322" s="375"/>
      <c r="W322" s="230">
        <v>36408</v>
      </c>
      <c r="X322" s="273">
        <v>10.1</v>
      </c>
      <c r="Y322" s="230">
        <v>24054</v>
      </c>
      <c r="Z322" s="273">
        <v>10</v>
      </c>
    </row>
    <row r="323" spans="1:27" s="45" customFormat="1" x14ac:dyDescent="0.2">
      <c r="A323" s="699"/>
      <c r="B323" s="577" t="s">
        <v>376</v>
      </c>
      <c r="C323" s="355"/>
      <c r="D323" s="375"/>
      <c r="E323" s="355"/>
      <c r="F323" s="376"/>
      <c r="G323" s="384"/>
      <c r="H323" s="375"/>
      <c r="I323" s="230">
        <v>156600</v>
      </c>
      <c r="J323" s="273">
        <v>43.5</v>
      </c>
      <c r="K323" s="384"/>
      <c r="L323" s="375"/>
      <c r="M323" s="230">
        <v>203537</v>
      </c>
      <c r="N323" s="231">
        <v>56.5</v>
      </c>
      <c r="O323" s="230">
        <v>454117</v>
      </c>
      <c r="P323" s="273">
        <v>126.1</v>
      </c>
      <c r="Q323" s="355"/>
      <c r="R323" s="375"/>
      <c r="S323" s="230">
        <v>184952</v>
      </c>
      <c r="T323" s="273">
        <v>77.099999999999994</v>
      </c>
      <c r="U323" s="355"/>
      <c r="V323" s="375"/>
      <c r="W323" s="230">
        <v>374400</v>
      </c>
      <c r="X323" s="273">
        <v>104</v>
      </c>
      <c r="Y323" s="230">
        <v>116928</v>
      </c>
      <c r="Z323" s="273">
        <v>48.7</v>
      </c>
    </row>
    <row r="324" spans="1:27" s="45" customFormat="1" x14ac:dyDescent="0.2">
      <c r="A324" s="699"/>
      <c r="B324" s="577" t="s">
        <v>377</v>
      </c>
      <c r="C324" s="355"/>
      <c r="D324" s="375"/>
      <c r="E324" s="355"/>
      <c r="F324" s="376"/>
      <c r="G324" s="384"/>
      <c r="H324" s="375"/>
      <c r="I324" s="230">
        <v>12871</v>
      </c>
      <c r="J324" s="273">
        <v>3.6</v>
      </c>
      <c r="K324" s="384"/>
      <c r="L324" s="375"/>
      <c r="M324" s="230">
        <v>14280</v>
      </c>
      <c r="N324" s="231">
        <v>4</v>
      </c>
      <c r="O324" s="230">
        <v>15392</v>
      </c>
      <c r="P324" s="273">
        <v>4.3</v>
      </c>
      <c r="Q324" s="355"/>
      <c r="R324" s="375"/>
      <c r="S324" s="230">
        <v>8132</v>
      </c>
      <c r="T324" s="273">
        <v>3.4</v>
      </c>
      <c r="U324" s="355"/>
      <c r="V324" s="375"/>
      <c r="W324" s="230">
        <v>18660</v>
      </c>
      <c r="X324" s="273">
        <v>5.2</v>
      </c>
      <c r="Y324" s="230">
        <v>9319</v>
      </c>
      <c r="Z324" s="273">
        <v>3.9</v>
      </c>
    </row>
    <row r="325" spans="1:27" s="45" customFormat="1" x14ac:dyDescent="0.2">
      <c r="A325" s="699"/>
      <c r="B325" s="577" t="s">
        <v>378</v>
      </c>
      <c r="C325" s="355"/>
      <c r="D325" s="375"/>
      <c r="E325" s="355"/>
      <c r="F325" s="376"/>
      <c r="G325" s="384"/>
      <c r="H325" s="375"/>
      <c r="I325" s="230">
        <v>211453</v>
      </c>
      <c r="J325" s="273">
        <v>58.7</v>
      </c>
      <c r="K325" s="384"/>
      <c r="L325" s="375"/>
      <c r="M325" s="230">
        <v>211453</v>
      </c>
      <c r="N325" s="231">
        <v>58.7</v>
      </c>
      <c r="O325" s="230">
        <v>374581</v>
      </c>
      <c r="P325" s="273">
        <v>104.1</v>
      </c>
      <c r="Q325" s="355"/>
      <c r="R325" s="375"/>
      <c r="S325" s="230">
        <v>249557</v>
      </c>
      <c r="T325" s="273">
        <v>104</v>
      </c>
      <c r="U325" s="355"/>
      <c r="V325" s="375"/>
      <c r="W325" s="230">
        <v>473873</v>
      </c>
      <c r="X325" s="273">
        <v>131.6</v>
      </c>
      <c r="Y325" s="230">
        <v>131544</v>
      </c>
      <c r="Z325" s="273">
        <v>54.8</v>
      </c>
    </row>
    <row r="326" spans="1:27" s="45" customFormat="1" x14ac:dyDescent="0.2">
      <c r="A326" s="699"/>
      <c r="B326" s="577" t="s">
        <v>379</v>
      </c>
      <c r="C326" s="355"/>
      <c r="D326" s="375"/>
      <c r="E326" s="355"/>
      <c r="F326" s="376"/>
      <c r="G326" s="384"/>
      <c r="H326" s="375"/>
      <c r="I326" s="230">
        <v>155070</v>
      </c>
      <c r="J326" s="273">
        <v>43.1</v>
      </c>
      <c r="K326" s="384"/>
      <c r="L326" s="375"/>
      <c r="M326" s="230">
        <v>155070</v>
      </c>
      <c r="N326" s="231">
        <v>43.1</v>
      </c>
      <c r="O326" s="230">
        <v>199728</v>
      </c>
      <c r="P326" s="273">
        <v>55.5</v>
      </c>
      <c r="Q326" s="355"/>
      <c r="R326" s="375"/>
      <c r="S326" s="230">
        <v>16644</v>
      </c>
      <c r="T326" s="273">
        <v>6.9</v>
      </c>
      <c r="U326" s="355"/>
      <c r="V326" s="375"/>
      <c r="W326" s="230">
        <v>16848</v>
      </c>
      <c r="X326" s="273">
        <v>4.7</v>
      </c>
      <c r="Y326" s="230">
        <v>8770</v>
      </c>
      <c r="Z326" s="273">
        <v>3.7</v>
      </c>
    </row>
    <row r="327" spans="1:27" s="45" customFormat="1" x14ac:dyDescent="0.2">
      <c r="A327" s="699"/>
      <c r="B327" s="577" t="s">
        <v>380</v>
      </c>
      <c r="C327" s="355"/>
      <c r="D327" s="375"/>
      <c r="E327" s="377"/>
      <c r="F327" s="376"/>
      <c r="G327" s="384"/>
      <c r="H327" s="375"/>
      <c r="I327" s="230">
        <v>16156</v>
      </c>
      <c r="J327" s="273">
        <v>4.5</v>
      </c>
      <c r="K327" s="384"/>
      <c r="L327" s="375"/>
      <c r="M327" s="230">
        <v>11732</v>
      </c>
      <c r="N327" s="231">
        <v>3.3</v>
      </c>
      <c r="O327" s="230">
        <v>2325</v>
      </c>
      <c r="P327" s="273">
        <v>0.6</v>
      </c>
      <c r="Q327" s="355"/>
      <c r="R327" s="375"/>
      <c r="S327" s="230">
        <v>1625</v>
      </c>
      <c r="T327" s="273">
        <v>0.7</v>
      </c>
      <c r="U327" s="355"/>
      <c r="V327" s="375"/>
      <c r="W327" s="230">
        <v>11862</v>
      </c>
      <c r="X327" s="273">
        <v>3.3</v>
      </c>
      <c r="Y327" s="230">
        <v>791</v>
      </c>
      <c r="Z327" s="273">
        <v>0.3</v>
      </c>
    </row>
    <row r="328" spans="1:27" s="45" customFormat="1" x14ac:dyDescent="0.2">
      <c r="A328" s="699"/>
      <c r="B328" s="577" t="s">
        <v>381</v>
      </c>
      <c r="C328" s="355"/>
      <c r="D328" s="375"/>
      <c r="E328" s="377"/>
      <c r="F328" s="376"/>
      <c r="G328" s="384"/>
      <c r="H328" s="375"/>
      <c r="I328" s="230">
        <v>15189</v>
      </c>
      <c r="J328" s="273">
        <v>4.2</v>
      </c>
      <c r="K328" s="384"/>
      <c r="L328" s="375"/>
      <c r="M328" s="230">
        <v>19564</v>
      </c>
      <c r="N328" s="231">
        <v>5.4</v>
      </c>
      <c r="O328" s="230">
        <v>35827</v>
      </c>
      <c r="P328" s="273">
        <v>10</v>
      </c>
      <c r="Q328" s="355"/>
      <c r="R328" s="375"/>
      <c r="S328" s="230">
        <v>15619</v>
      </c>
      <c r="T328" s="273">
        <v>6.5</v>
      </c>
      <c r="U328" s="355"/>
      <c r="V328" s="375"/>
      <c r="W328" s="230">
        <v>38223</v>
      </c>
      <c r="X328" s="273">
        <v>10.6</v>
      </c>
      <c r="Y328" s="230">
        <v>12151</v>
      </c>
      <c r="Z328" s="273">
        <v>5.0999999999999996</v>
      </c>
    </row>
    <row r="329" spans="1:27" s="37" customFormat="1" x14ac:dyDescent="0.2">
      <c r="A329" s="699"/>
      <c r="B329" s="274" t="s">
        <v>382</v>
      </c>
      <c r="C329" s="357"/>
      <c r="D329" s="378"/>
      <c r="E329" s="357"/>
      <c r="F329" s="379"/>
      <c r="G329" s="385"/>
      <c r="H329" s="378"/>
      <c r="I329" s="275">
        <v>1466877</v>
      </c>
      <c r="J329" s="279">
        <v>407.5</v>
      </c>
      <c r="K329" s="385"/>
      <c r="L329" s="378"/>
      <c r="M329" s="228">
        <v>1600815</v>
      </c>
      <c r="N329" s="232">
        <v>444.7</v>
      </c>
      <c r="O329" s="275">
        <v>2608121</v>
      </c>
      <c r="P329" s="279">
        <v>724.5</v>
      </c>
      <c r="Q329" s="357"/>
      <c r="R329" s="378"/>
      <c r="S329" s="275">
        <v>1400708</v>
      </c>
      <c r="T329" s="279">
        <v>583.6</v>
      </c>
      <c r="U329" s="357"/>
      <c r="V329" s="378"/>
      <c r="W329" s="275">
        <v>2147947</v>
      </c>
      <c r="X329" s="279">
        <v>596.70000000000005</v>
      </c>
      <c r="Y329" s="275">
        <v>1133463</v>
      </c>
      <c r="Z329" s="279">
        <v>472.3</v>
      </c>
    </row>
    <row r="330" spans="1:27" s="574" customFormat="1" x14ac:dyDescent="0.2">
      <c r="A330" s="699"/>
      <c r="B330" s="283" t="s">
        <v>491</v>
      </c>
      <c r="C330" s="353" t="s">
        <v>372</v>
      </c>
      <c r="D330" s="354" t="s">
        <v>397</v>
      </c>
      <c r="E330" s="353" t="s">
        <v>372</v>
      </c>
      <c r="F330" s="354" t="s">
        <v>397</v>
      </c>
      <c r="G330" s="353" t="s">
        <v>372</v>
      </c>
      <c r="H330" s="354" t="s">
        <v>397</v>
      </c>
      <c r="I330" s="289" t="s">
        <v>372</v>
      </c>
      <c r="J330" s="291" t="s">
        <v>397</v>
      </c>
      <c r="K330" s="353" t="s">
        <v>372</v>
      </c>
      <c r="L330" s="354" t="s">
        <v>397</v>
      </c>
      <c r="M330" s="289" t="s">
        <v>372</v>
      </c>
      <c r="N330" s="291" t="s">
        <v>397</v>
      </c>
      <c r="O330" s="289" t="s">
        <v>372</v>
      </c>
      <c r="P330" s="291" t="s">
        <v>397</v>
      </c>
      <c r="Q330" s="353" t="s">
        <v>372</v>
      </c>
      <c r="R330" s="354" t="s">
        <v>397</v>
      </c>
      <c r="S330" s="289" t="s">
        <v>372</v>
      </c>
      <c r="T330" s="291" t="s">
        <v>397</v>
      </c>
      <c r="U330" s="353" t="s">
        <v>372</v>
      </c>
      <c r="V330" s="354" t="s">
        <v>397</v>
      </c>
      <c r="W330" s="289" t="s">
        <v>372</v>
      </c>
      <c r="X330" s="291" t="s">
        <v>397</v>
      </c>
      <c r="Y330" s="289" t="s">
        <v>372</v>
      </c>
      <c r="Z330" s="291" t="s">
        <v>397</v>
      </c>
    </row>
    <row r="331" spans="1:27" s="45" customFormat="1" x14ac:dyDescent="0.2">
      <c r="A331" s="699"/>
      <c r="B331" s="577" t="s">
        <v>373</v>
      </c>
      <c r="C331" s="355"/>
      <c r="D331" s="356"/>
      <c r="E331" s="355"/>
      <c r="F331" s="356"/>
      <c r="G331" s="355"/>
      <c r="H331" s="356"/>
      <c r="I331" s="230">
        <f>I309-I320</f>
        <v>-51842</v>
      </c>
      <c r="J331" s="293">
        <f>J309-J320</f>
        <v>-14.400000000000006</v>
      </c>
      <c r="K331" s="355"/>
      <c r="L331" s="356"/>
      <c r="M331" s="230">
        <f>M309-M320</f>
        <v>-49081</v>
      </c>
      <c r="N331" s="293">
        <f>N309-N320</f>
        <v>-13.599999999999994</v>
      </c>
      <c r="O331" s="230">
        <f>O309-O320</f>
        <v>-58631</v>
      </c>
      <c r="P331" s="293">
        <f>P309-P320</f>
        <v>-16.199999999999989</v>
      </c>
      <c r="Q331" s="355"/>
      <c r="R331" s="356"/>
      <c r="S331" s="230">
        <f>S309-S320</f>
        <v>-43113</v>
      </c>
      <c r="T331" s="293">
        <f>T309-T320</f>
        <v>-17.900000000000006</v>
      </c>
      <c r="U331" s="355"/>
      <c r="V331" s="356"/>
      <c r="W331" s="230">
        <f>W309-W320</f>
        <v>-49763</v>
      </c>
      <c r="X331" s="293">
        <f>X309-X320</f>
        <v>-13.799999999999983</v>
      </c>
      <c r="Y331" s="230">
        <f>Y309-Y320</f>
        <v>-49891</v>
      </c>
      <c r="Z331" s="293">
        <f>Z309-Z320</f>
        <v>-20.699999999999989</v>
      </c>
      <c r="AA331" s="576"/>
    </row>
    <row r="332" spans="1:27" s="45" customFormat="1" x14ac:dyDescent="0.2">
      <c r="A332" s="699"/>
      <c r="B332" s="577" t="s">
        <v>374</v>
      </c>
      <c r="C332" s="355"/>
      <c r="D332" s="356"/>
      <c r="E332" s="355"/>
      <c r="F332" s="356"/>
      <c r="G332" s="355"/>
      <c r="H332" s="356"/>
      <c r="I332" s="230">
        <f t="shared" ref="I332:J339" si="103">I310-I321</f>
        <v>-1468</v>
      </c>
      <c r="J332" s="293">
        <f t="shared" si="103"/>
        <v>-0.39999999999999858</v>
      </c>
      <c r="K332" s="355"/>
      <c r="L332" s="356"/>
      <c r="M332" s="230">
        <f t="shared" ref="M332:P332" si="104">M310-M321</f>
        <v>-1487</v>
      </c>
      <c r="N332" s="293">
        <f t="shared" si="104"/>
        <v>-0.5</v>
      </c>
      <c r="O332" s="230">
        <f t="shared" si="104"/>
        <v>-1373</v>
      </c>
      <c r="P332" s="293">
        <f t="shared" si="104"/>
        <v>-0.40000000000000568</v>
      </c>
      <c r="Q332" s="355"/>
      <c r="R332" s="356"/>
      <c r="S332" s="230">
        <f t="shared" ref="S332:T332" si="105">S310-S321</f>
        <v>-383</v>
      </c>
      <c r="T332" s="293">
        <f t="shared" si="105"/>
        <v>-0.20000000000000284</v>
      </c>
      <c r="U332" s="355"/>
      <c r="V332" s="356"/>
      <c r="W332" s="230">
        <f t="shared" ref="W332:Z332" si="106">W310-W321</f>
        <v>-1834</v>
      </c>
      <c r="X332" s="293">
        <f t="shared" si="106"/>
        <v>-0.5</v>
      </c>
      <c r="Y332" s="230">
        <f t="shared" si="106"/>
        <v>-142</v>
      </c>
      <c r="Z332" s="293">
        <f t="shared" si="106"/>
        <v>0</v>
      </c>
      <c r="AA332" s="576"/>
    </row>
    <row r="333" spans="1:27" s="45" customFormat="1" x14ac:dyDescent="0.2">
      <c r="A333" s="699"/>
      <c r="B333" s="577" t="s">
        <v>375</v>
      </c>
      <c r="C333" s="355"/>
      <c r="D333" s="356"/>
      <c r="E333" s="355"/>
      <c r="F333" s="356"/>
      <c r="G333" s="355"/>
      <c r="H333" s="356"/>
      <c r="I333" s="230">
        <f t="shared" si="103"/>
        <v>0</v>
      </c>
      <c r="J333" s="293">
        <f t="shared" si="103"/>
        <v>0</v>
      </c>
      <c r="K333" s="355"/>
      <c r="L333" s="356"/>
      <c r="M333" s="230">
        <f t="shared" ref="M333:P333" si="107">M311-M322</f>
        <v>0</v>
      </c>
      <c r="N333" s="293">
        <f t="shared" si="107"/>
        <v>0</v>
      </c>
      <c r="O333" s="230">
        <f t="shared" si="107"/>
        <v>0</v>
      </c>
      <c r="P333" s="293">
        <f t="shared" si="107"/>
        <v>0</v>
      </c>
      <c r="Q333" s="355"/>
      <c r="R333" s="356"/>
      <c r="S333" s="230">
        <f t="shared" ref="S333:T333" si="108">S311-S322</f>
        <v>0</v>
      </c>
      <c r="T333" s="293">
        <f t="shared" si="108"/>
        <v>0</v>
      </c>
      <c r="U333" s="355"/>
      <c r="V333" s="356"/>
      <c r="W333" s="230">
        <f t="shared" ref="W333:Z333" si="109">W311-W322</f>
        <v>0</v>
      </c>
      <c r="X333" s="293">
        <f t="shared" si="109"/>
        <v>0</v>
      </c>
      <c r="Y333" s="230">
        <f t="shared" si="109"/>
        <v>0</v>
      </c>
      <c r="Z333" s="293">
        <f t="shared" si="109"/>
        <v>0</v>
      </c>
      <c r="AA333" s="576"/>
    </row>
    <row r="334" spans="1:27" s="45" customFormat="1" x14ac:dyDescent="0.2">
      <c r="A334" s="699"/>
      <c r="B334" s="577" t="s">
        <v>376</v>
      </c>
      <c r="C334" s="355"/>
      <c r="D334" s="356"/>
      <c r="E334" s="355"/>
      <c r="F334" s="356"/>
      <c r="G334" s="355"/>
      <c r="H334" s="356"/>
      <c r="I334" s="230">
        <f t="shared" si="103"/>
        <v>0</v>
      </c>
      <c r="J334" s="293">
        <f t="shared" si="103"/>
        <v>0</v>
      </c>
      <c r="K334" s="355"/>
      <c r="L334" s="356"/>
      <c r="M334" s="230">
        <f t="shared" ref="M334:P334" si="110">M312-M323</f>
        <v>0</v>
      </c>
      <c r="N334" s="293">
        <f t="shared" si="110"/>
        <v>0</v>
      </c>
      <c r="O334" s="230">
        <f t="shared" si="110"/>
        <v>0</v>
      </c>
      <c r="P334" s="293">
        <f t="shared" si="110"/>
        <v>0</v>
      </c>
      <c r="Q334" s="355"/>
      <c r="R334" s="356"/>
      <c r="S334" s="230">
        <f t="shared" ref="S334:T334" si="111">S312-S323</f>
        <v>0</v>
      </c>
      <c r="T334" s="293">
        <f t="shared" si="111"/>
        <v>0</v>
      </c>
      <c r="U334" s="355"/>
      <c r="V334" s="356"/>
      <c r="W334" s="230">
        <f t="shared" ref="W334:Z334" si="112">W312-W323</f>
        <v>0</v>
      </c>
      <c r="X334" s="293">
        <f t="shared" si="112"/>
        <v>0</v>
      </c>
      <c r="Y334" s="230">
        <f t="shared" si="112"/>
        <v>0</v>
      </c>
      <c r="Z334" s="293">
        <f t="shared" si="112"/>
        <v>0</v>
      </c>
      <c r="AA334" s="576"/>
    </row>
    <row r="335" spans="1:27" s="45" customFormat="1" x14ac:dyDescent="0.2">
      <c r="A335" s="699"/>
      <c r="B335" s="577" t="s">
        <v>377</v>
      </c>
      <c r="C335" s="355"/>
      <c r="D335" s="356"/>
      <c r="E335" s="355"/>
      <c r="F335" s="356"/>
      <c r="G335" s="355"/>
      <c r="H335" s="356"/>
      <c r="I335" s="230">
        <f t="shared" si="103"/>
        <v>298</v>
      </c>
      <c r="J335" s="293">
        <f t="shared" si="103"/>
        <v>0.10000000000000009</v>
      </c>
      <c r="K335" s="355"/>
      <c r="L335" s="356"/>
      <c r="M335" s="230">
        <f t="shared" ref="M335:P335" si="113">M313-M324</f>
        <v>144</v>
      </c>
      <c r="N335" s="293">
        <f t="shared" si="113"/>
        <v>0</v>
      </c>
      <c r="O335" s="230">
        <f t="shared" si="113"/>
        <v>1000</v>
      </c>
      <c r="P335" s="293">
        <f t="shared" si="113"/>
        <v>0.29999999999999982</v>
      </c>
      <c r="Q335" s="355"/>
      <c r="R335" s="356"/>
      <c r="S335" s="230">
        <f t="shared" ref="S335:T335" si="114">S313-S324</f>
        <v>1151</v>
      </c>
      <c r="T335" s="293">
        <f t="shared" si="114"/>
        <v>0.5</v>
      </c>
      <c r="U335" s="355"/>
      <c r="V335" s="356"/>
      <c r="W335" s="230">
        <f t="shared" ref="W335:Z335" si="115">W313-W324</f>
        <v>-2</v>
      </c>
      <c r="X335" s="293">
        <f t="shared" si="115"/>
        <v>0</v>
      </c>
      <c r="Y335" s="230">
        <f t="shared" si="115"/>
        <v>775</v>
      </c>
      <c r="Z335" s="293">
        <f t="shared" si="115"/>
        <v>0.30000000000000027</v>
      </c>
      <c r="AA335" s="576"/>
    </row>
    <row r="336" spans="1:27" x14ac:dyDescent="0.2">
      <c r="A336" s="699"/>
      <c r="B336" s="577" t="s">
        <v>378</v>
      </c>
      <c r="C336" s="355"/>
      <c r="D336" s="356"/>
      <c r="E336" s="355"/>
      <c r="F336" s="356"/>
      <c r="G336" s="355"/>
      <c r="H336" s="356"/>
      <c r="I336" s="230">
        <f t="shared" si="103"/>
        <v>0</v>
      </c>
      <c r="J336" s="293">
        <f t="shared" si="103"/>
        <v>0</v>
      </c>
      <c r="K336" s="355"/>
      <c r="L336" s="356"/>
      <c r="M336" s="230">
        <f t="shared" ref="M336:P336" si="116">M314-M325</f>
        <v>0</v>
      </c>
      <c r="N336" s="293">
        <f t="shared" si="116"/>
        <v>0</v>
      </c>
      <c r="O336" s="230">
        <f t="shared" si="116"/>
        <v>0</v>
      </c>
      <c r="P336" s="293">
        <f t="shared" si="116"/>
        <v>0</v>
      </c>
      <c r="Q336" s="355"/>
      <c r="R336" s="356"/>
      <c r="S336" s="230">
        <f t="shared" ref="S336:T336" si="117">S314-S325</f>
        <v>0</v>
      </c>
      <c r="T336" s="293">
        <f t="shared" si="117"/>
        <v>0</v>
      </c>
      <c r="U336" s="355"/>
      <c r="V336" s="356"/>
      <c r="W336" s="230">
        <f t="shared" ref="W336:Z336" si="118">W314-W325</f>
        <v>0</v>
      </c>
      <c r="X336" s="293">
        <f t="shared" si="118"/>
        <v>0</v>
      </c>
      <c r="Y336" s="230">
        <f t="shared" si="118"/>
        <v>0</v>
      </c>
      <c r="Z336" s="293">
        <f t="shared" si="118"/>
        <v>0</v>
      </c>
    </row>
    <row r="337" spans="1:26" x14ac:dyDescent="0.2">
      <c r="A337" s="699"/>
      <c r="B337" s="577" t="s">
        <v>379</v>
      </c>
      <c r="C337" s="355"/>
      <c r="D337" s="356"/>
      <c r="E337" s="355"/>
      <c r="F337" s="356"/>
      <c r="G337" s="355"/>
      <c r="H337" s="356"/>
      <c r="I337" s="230">
        <f t="shared" si="103"/>
        <v>0</v>
      </c>
      <c r="J337" s="293">
        <f t="shared" si="103"/>
        <v>0</v>
      </c>
      <c r="K337" s="355"/>
      <c r="L337" s="356"/>
      <c r="M337" s="230">
        <f t="shared" ref="M337:P337" si="119">M315-M326</f>
        <v>0</v>
      </c>
      <c r="N337" s="293">
        <f t="shared" si="119"/>
        <v>0</v>
      </c>
      <c r="O337" s="230">
        <f t="shared" si="119"/>
        <v>0</v>
      </c>
      <c r="P337" s="293">
        <f t="shared" si="119"/>
        <v>0</v>
      </c>
      <c r="Q337" s="355"/>
      <c r="R337" s="356"/>
      <c r="S337" s="230">
        <f t="shared" ref="S337:T337" si="120">S315-S326</f>
        <v>0</v>
      </c>
      <c r="T337" s="293">
        <f t="shared" si="120"/>
        <v>0</v>
      </c>
      <c r="U337" s="355"/>
      <c r="V337" s="356"/>
      <c r="W337" s="230">
        <f t="shared" ref="W337:Z337" si="121">W315-W326</f>
        <v>0</v>
      </c>
      <c r="X337" s="293">
        <f t="shared" si="121"/>
        <v>0</v>
      </c>
      <c r="Y337" s="230">
        <f t="shared" si="121"/>
        <v>0</v>
      </c>
      <c r="Z337" s="293">
        <f t="shared" si="121"/>
        <v>0</v>
      </c>
    </row>
    <row r="338" spans="1:26" x14ac:dyDescent="0.2">
      <c r="A338" s="699"/>
      <c r="B338" s="577" t="s">
        <v>380</v>
      </c>
      <c r="C338" s="355"/>
      <c r="D338" s="356"/>
      <c r="E338" s="355"/>
      <c r="F338" s="356"/>
      <c r="G338" s="355"/>
      <c r="H338" s="356"/>
      <c r="I338" s="230">
        <f t="shared" si="103"/>
        <v>48788</v>
      </c>
      <c r="J338" s="293">
        <f t="shared" si="103"/>
        <v>13.5</v>
      </c>
      <c r="K338" s="355"/>
      <c r="L338" s="356"/>
      <c r="M338" s="230">
        <f t="shared" ref="M338:P338" si="122">M316-M327</f>
        <v>33173</v>
      </c>
      <c r="N338" s="293">
        <f t="shared" si="122"/>
        <v>9.1999999999999993</v>
      </c>
      <c r="O338" s="230">
        <f t="shared" si="122"/>
        <v>16449</v>
      </c>
      <c r="P338" s="293">
        <f t="shared" si="122"/>
        <v>4.6000000000000005</v>
      </c>
      <c r="Q338" s="355"/>
      <c r="R338" s="356"/>
      <c r="S338" s="230">
        <f t="shared" ref="S338:T338" si="123">S316-S327</f>
        <v>9883</v>
      </c>
      <c r="T338" s="293">
        <f t="shared" si="123"/>
        <v>4.0999999999999996</v>
      </c>
      <c r="U338" s="355"/>
      <c r="V338" s="356"/>
      <c r="W338" s="230">
        <f t="shared" ref="W338:Z338" si="124">W316-W327</f>
        <v>26661</v>
      </c>
      <c r="X338" s="293">
        <f t="shared" si="124"/>
        <v>7.3999999999999995</v>
      </c>
      <c r="Y338" s="230">
        <f t="shared" si="124"/>
        <v>6649</v>
      </c>
      <c r="Z338" s="293">
        <f t="shared" si="124"/>
        <v>2.8000000000000003</v>
      </c>
    </row>
    <row r="339" spans="1:26" x14ac:dyDescent="0.2">
      <c r="A339" s="699"/>
      <c r="B339" s="577" t="s">
        <v>381</v>
      </c>
      <c r="C339" s="355"/>
      <c r="D339" s="356"/>
      <c r="E339" s="355"/>
      <c r="F339" s="356"/>
      <c r="G339" s="355"/>
      <c r="H339" s="356"/>
      <c r="I339" s="230">
        <f t="shared" si="103"/>
        <v>0</v>
      </c>
      <c r="J339" s="293">
        <f t="shared" si="103"/>
        <v>0</v>
      </c>
      <c r="K339" s="355"/>
      <c r="L339" s="356"/>
      <c r="M339" s="230">
        <f t="shared" ref="M339:P339" si="125">M317-M328</f>
        <v>0</v>
      </c>
      <c r="N339" s="293">
        <f t="shared" si="125"/>
        <v>0</v>
      </c>
      <c r="O339" s="230">
        <f t="shared" si="125"/>
        <v>0</v>
      </c>
      <c r="P339" s="293">
        <f t="shared" si="125"/>
        <v>0</v>
      </c>
      <c r="Q339" s="355"/>
      <c r="R339" s="356"/>
      <c r="S339" s="230">
        <f t="shared" ref="S339:T339" si="126">S317-S328</f>
        <v>0</v>
      </c>
      <c r="T339" s="293">
        <f t="shared" si="126"/>
        <v>0</v>
      </c>
      <c r="U339" s="355"/>
      <c r="V339" s="356"/>
      <c r="W339" s="230">
        <f t="shared" ref="W339:Z339" si="127">W317-W328</f>
        <v>0</v>
      </c>
      <c r="X339" s="293">
        <f t="shared" si="127"/>
        <v>0</v>
      </c>
      <c r="Y339" s="230">
        <f t="shared" si="127"/>
        <v>0</v>
      </c>
      <c r="Z339" s="293">
        <f t="shared" si="127"/>
        <v>0</v>
      </c>
    </row>
    <row r="340" spans="1:26" s="20" customFormat="1" x14ac:dyDescent="0.2">
      <c r="A340" s="700"/>
      <c r="B340" s="274" t="s">
        <v>954</v>
      </c>
      <c r="C340" s="357"/>
      <c r="D340" s="358"/>
      <c r="E340" s="357"/>
      <c r="F340" s="358"/>
      <c r="G340" s="357"/>
      <c r="H340" s="358"/>
      <c r="I340" s="275">
        <f>I338</f>
        <v>48788</v>
      </c>
      <c r="J340" s="294">
        <f>J338</f>
        <v>13.5</v>
      </c>
      <c r="K340" s="357"/>
      <c r="L340" s="358"/>
      <c r="M340" s="275">
        <f>M338</f>
        <v>33173</v>
      </c>
      <c r="N340" s="294">
        <f>N338</f>
        <v>9.1999999999999993</v>
      </c>
      <c r="O340" s="275">
        <f>O338</f>
        <v>16449</v>
      </c>
      <c r="P340" s="294">
        <f>P338</f>
        <v>4.6000000000000005</v>
      </c>
      <c r="Q340" s="357"/>
      <c r="R340" s="358"/>
      <c r="S340" s="275">
        <f>S338</f>
        <v>9883</v>
      </c>
      <c r="T340" s="294">
        <f>T338</f>
        <v>4.0999999999999996</v>
      </c>
      <c r="U340" s="357"/>
      <c r="V340" s="358"/>
      <c r="W340" s="275">
        <f>W338</f>
        <v>26661</v>
      </c>
      <c r="X340" s="294">
        <f>X338</f>
        <v>7.3999999999999995</v>
      </c>
      <c r="Y340" s="275">
        <f>Y338</f>
        <v>6649</v>
      </c>
      <c r="Z340" s="294">
        <f>Z338</f>
        <v>2.8000000000000003</v>
      </c>
    </row>
    <row r="341" spans="1:26" s="227" customFormat="1" x14ac:dyDescent="0.2">
      <c r="A341" s="386"/>
      <c r="B341" s="195"/>
      <c r="C341" s="268"/>
      <c r="D341" s="268"/>
      <c r="E341" s="268"/>
      <c r="F341" s="268"/>
      <c r="G341" s="268"/>
      <c r="H341" s="268"/>
      <c r="I341" s="268"/>
      <c r="J341" s="268"/>
      <c r="K341" s="268"/>
      <c r="L341" s="268"/>
      <c r="M341" s="268"/>
      <c r="N341" s="268"/>
      <c r="O341" s="268"/>
      <c r="P341" s="268"/>
      <c r="Q341" s="268"/>
      <c r="R341" s="268"/>
      <c r="S341" s="268"/>
      <c r="T341" s="268"/>
      <c r="U341" s="268"/>
      <c r="V341" s="268"/>
      <c r="W341" s="268"/>
      <c r="X341" s="268"/>
      <c r="Y341" s="268"/>
      <c r="Z341" s="268"/>
    </row>
    <row r="342" spans="1:26" s="202" customFormat="1" ht="13.15" customHeight="1" x14ac:dyDescent="0.2">
      <c r="A342" s="698" t="s">
        <v>913</v>
      </c>
      <c r="B342" s="269" t="s">
        <v>962</v>
      </c>
      <c r="C342" s="598" t="s">
        <v>962</v>
      </c>
      <c r="D342" s="314"/>
      <c r="E342" s="598" t="s">
        <v>962</v>
      </c>
      <c r="F342" s="314"/>
      <c r="G342" s="598" t="s">
        <v>962</v>
      </c>
      <c r="H342" s="314"/>
      <c r="I342" s="598" t="s">
        <v>962</v>
      </c>
      <c r="J342" s="314"/>
      <c r="K342" s="598" t="s">
        <v>962</v>
      </c>
      <c r="L342" s="314"/>
      <c r="M342" s="598" t="s">
        <v>962</v>
      </c>
      <c r="N342" s="314"/>
      <c r="O342" s="598" t="s">
        <v>962</v>
      </c>
      <c r="P342" s="314"/>
      <c r="Q342" s="598" t="s">
        <v>962</v>
      </c>
      <c r="R342" s="314"/>
      <c r="S342" s="598" t="s">
        <v>962</v>
      </c>
      <c r="T342" s="314"/>
      <c r="U342" s="598" t="s">
        <v>962</v>
      </c>
      <c r="V342" s="314"/>
      <c r="W342" s="598" t="s">
        <v>962</v>
      </c>
      <c r="X342" s="314"/>
      <c r="Y342" s="598" t="s">
        <v>962</v>
      </c>
      <c r="Z342" s="314"/>
    </row>
    <row r="343" spans="1:26" x14ac:dyDescent="0.2">
      <c r="A343" s="699"/>
      <c r="B343" s="26" t="s">
        <v>967</v>
      </c>
      <c r="C343" s="597">
        <v>0.08</v>
      </c>
      <c r="D343" s="599">
        <v>0.08</v>
      </c>
      <c r="E343" s="597">
        <v>0.08</v>
      </c>
      <c r="F343" s="599">
        <v>0.08</v>
      </c>
      <c r="G343" s="597">
        <v>0.08</v>
      </c>
      <c r="H343" s="599">
        <v>0.08</v>
      </c>
      <c r="I343" s="597">
        <v>0.08</v>
      </c>
      <c r="J343" s="599">
        <v>0.08</v>
      </c>
      <c r="K343" s="597">
        <v>0.08</v>
      </c>
      <c r="L343" s="599">
        <v>0.08</v>
      </c>
      <c r="M343" s="597">
        <v>0.08</v>
      </c>
      <c r="N343" s="599">
        <v>0.08</v>
      </c>
      <c r="O343" s="597">
        <v>0.08</v>
      </c>
      <c r="P343" s="599">
        <v>0.08</v>
      </c>
      <c r="Q343" s="597">
        <v>0.08</v>
      </c>
      <c r="R343" s="599">
        <v>0.08</v>
      </c>
      <c r="S343" s="597">
        <v>0.08</v>
      </c>
      <c r="T343" s="599">
        <v>0.08</v>
      </c>
      <c r="U343" s="597">
        <v>0.08</v>
      </c>
      <c r="V343" s="599">
        <v>0.08</v>
      </c>
      <c r="W343" s="597">
        <v>0.08</v>
      </c>
      <c r="X343" s="599">
        <v>0.08</v>
      </c>
      <c r="Y343" s="597">
        <v>0.08</v>
      </c>
      <c r="Z343" s="599">
        <v>0.08</v>
      </c>
    </row>
    <row r="344" spans="1:26" s="216" customFormat="1" x14ac:dyDescent="0.2">
      <c r="A344" s="699"/>
      <c r="B344" s="283" t="s">
        <v>491</v>
      </c>
      <c r="C344" s="289" t="s">
        <v>372</v>
      </c>
      <c r="D344" s="291" t="s">
        <v>397</v>
      </c>
      <c r="E344" s="289" t="s">
        <v>372</v>
      </c>
      <c r="F344" s="290" t="s">
        <v>397</v>
      </c>
      <c r="G344" s="289" t="s">
        <v>372</v>
      </c>
      <c r="H344" s="291" t="s">
        <v>397</v>
      </c>
      <c r="I344" s="292" t="s">
        <v>372</v>
      </c>
      <c r="J344" s="291" t="s">
        <v>397</v>
      </c>
      <c r="K344" s="289" t="s">
        <v>372</v>
      </c>
      <c r="L344" s="291" t="s">
        <v>397</v>
      </c>
      <c r="M344" s="289" t="s">
        <v>372</v>
      </c>
      <c r="N344" s="291" t="s">
        <v>397</v>
      </c>
      <c r="O344" s="289" t="s">
        <v>372</v>
      </c>
      <c r="P344" s="291" t="s">
        <v>397</v>
      </c>
      <c r="Q344" s="289" t="s">
        <v>372</v>
      </c>
      <c r="R344" s="291" t="s">
        <v>397</v>
      </c>
      <c r="S344" s="289" t="s">
        <v>372</v>
      </c>
      <c r="T344" s="291" t="s">
        <v>397</v>
      </c>
      <c r="U344" s="289" t="s">
        <v>372</v>
      </c>
      <c r="V344" s="291" t="s">
        <v>397</v>
      </c>
      <c r="W344" s="289" t="s">
        <v>372</v>
      </c>
      <c r="X344" s="291" t="s">
        <v>397</v>
      </c>
      <c r="Y344" s="289" t="s">
        <v>372</v>
      </c>
      <c r="Z344" s="291" t="s">
        <v>397</v>
      </c>
    </row>
    <row r="345" spans="1:26" x14ac:dyDescent="0.2">
      <c r="A345" s="699"/>
      <c r="B345" s="272" t="s">
        <v>373</v>
      </c>
      <c r="C345" s="230">
        <f t="shared" ref="C345:Z345" si="128">C6*C$343</f>
        <v>5227.76</v>
      </c>
      <c r="D345" s="293">
        <f t="shared" si="128"/>
        <v>32.671999999999997</v>
      </c>
      <c r="E345" s="230">
        <f t="shared" si="128"/>
        <v>23387.040000000001</v>
      </c>
      <c r="F345" s="293">
        <f t="shared" si="128"/>
        <v>25.984000000000002</v>
      </c>
      <c r="G345" s="230">
        <f t="shared" si="128"/>
        <v>9329.68</v>
      </c>
      <c r="H345" s="293">
        <f t="shared" si="128"/>
        <v>31.096</v>
      </c>
      <c r="I345" s="230">
        <f t="shared" si="128"/>
        <v>55656.639999999999</v>
      </c>
      <c r="J345" s="293">
        <f t="shared" si="128"/>
        <v>15.464</v>
      </c>
      <c r="K345" s="230">
        <f t="shared" si="128"/>
        <v>46497.440000000002</v>
      </c>
      <c r="L345" s="293">
        <f t="shared" si="128"/>
        <v>19.376000000000001</v>
      </c>
      <c r="M345" s="230">
        <f t="shared" si="128"/>
        <v>60869.440000000002</v>
      </c>
      <c r="N345" s="293">
        <f t="shared" si="128"/>
        <v>16.911999999999999</v>
      </c>
      <c r="O345" s="230">
        <f t="shared" si="128"/>
        <v>80300.960000000006</v>
      </c>
      <c r="P345" s="293">
        <f t="shared" si="128"/>
        <v>22.304000000000002</v>
      </c>
      <c r="Q345" s="230">
        <f t="shared" si="128"/>
        <v>40428.480000000003</v>
      </c>
      <c r="R345" s="293">
        <f t="shared" si="128"/>
        <v>16.847999999999999</v>
      </c>
      <c r="S345" s="230">
        <f t="shared" si="128"/>
        <v>55701.919999999998</v>
      </c>
      <c r="T345" s="293">
        <f t="shared" si="128"/>
        <v>23.208000000000002</v>
      </c>
      <c r="U345" s="230">
        <f t="shared" si="128"/>
        <v>99552.16</v>
      </c>
      <c r="V345" s="293">
        <f t="shared" si="128"/>
        <v>31.111999999999998</v>
      </c>
      <c r="W345" s="230">
        <f t="shared" si="128"/>
        <v>68949.600000000006</v>
      </c>
      <c r="X345" s="293">
        <f t="shared" si="128"/>
        <v>19.152000000000001</v>
      </c>
      <c r="Y345" s="230">
        <f t="shared" si="128"/>
        <v>58504.880000000005</v>
      </c>
      <c r="Z345" s="293">
        <f t="shared" si="128"/>
        <v>24.376000000000001</v>
      </c>
    </row>
    <row r="346" spans="1:26" x14ac:dyDescent="0.2">
      <c r="A346" s="699"/>
      <c r="B346" s="272" t="s">
        <v>374</v>
      </c>
      <c r="C346" s="230">
        <f t="shared" ref="C346:D346" si="129">C7*C$343</f>
        <v>0</v>
      </c>
      <c r="D346" s="293">
        <f t="shared" si="129"/>
        <v>0</v>
      </c>
      <c r="E346" s="230">
        <f t="shared" ref="E346:F346" si="130">E7*E$343</f>
        <v>0</v>
      </c>
      <c r="F346" s="293">
        <f t="shared" si="130"/>
        <v>0</v>
      </c>
      <c r="G346" s="230">
        <f t="shared" ref="G346:H353" si="131">G7*G$343</f>
        <v>1655.44</v>
      </c>
      <c r="H346" s="293">
        <f t="shared" si="131"/>
        <v>5.5200000000000005</v>
      </c>
      <c r="I346" s="230">
        <f t="shared" ref="I346:Z346" si="132">I7*I$343</f>
        <v>17409.439999999999</v>
      </c>
      <c r="J346" s="293">
        <f t="shared" si="132"/>
        <v>4.8319999999999999</v>
      </c>
      <c r="K346" s="230">
        <f t="shared" si="132"/>
        <v>15582.720000000001</v>
      </c>
      <c r="L346" s="293">
        <f t="shared" si="132"/>
        <v>6.4960000000000004</v>
      </c>
      <c r="M346" s="230">
        <f t="shared" si="132"/>
        <v>22675.119999999999</v>
      </c>
      <c r="N346" s="293">
        <f t="shared" si="132"/>
        <v>6.2960000000000003</v>
      </c>
      <c r="O346" s="230">
        <f t="shared" si="132"/>
        <v>52162.400000000001</v>
      </c>
      <c r="P346" s="293">
        <f t="shared" si="132"/>
        <v>14.488</v>
      </c>
      <c r="Q346" s="230">
        <f t="shared" si="132"/>
        <v>34514.639999999999</v>
      </c>
      <c r="R346" s="293">
        <f t="shared" si="132"/>
        <v>14.384</v>
      </c>
      <c r="S346" s="230">
        <f t="shared" si="132"/>
        <v>20318.96</v>
      </c>
      <c r="T346" s="293">
        <f t="shared" si="132"/>
        <v>8.4640000000000004</v>
      </c>
      <c r="U346" s="230">
        <f t="shared" si="132"/>
        <v>22129.920000000002</v>
      </c>
      <c r="V346" s="293">
        <f t="shared" si="132"/>
        <v>6.9120000000000008</v>
      </c>
      <c r="W346" s="230">
        <f t="shared" si="132"/>
        <v>39500.160000000003</v>
      </c>
      <c r="X346" s="293">
        <f t="shared" si="132"/>
        <v>10.975999999999999</v>
      </c>
      <c r="Y346" s="230">
        <f t="shared" si="132"/>
        <v>12770.48</v>
      </c>
      <c r="Z346" s="293">
        <f t="shared" si="132"/>
        <v>5.32</v>
      </c>
    </row>
    <row r="347" spans="1:26" x14ac:dyDescent="0.2">
      <c r="A347" s="699"/>
      <c r="B347" s="272" t="s">
        <v>375</v>
      </c>
      <c r="C347" s="230">
        <f t="shared" ref="C347:D347" si="133">C8*C$343</f>
        <v>381.2</v>
      </c>
      <c r="D347" s="293">
        <f t="shared" si="133"/>
        <v>2.3839999999999999</v>
      </c>
      <c r="E347" s="230">
        <f t="shared" ref="E347:F347" si="134">E8*E$343</f>
        <v>2143.36</v>
      </c>
      <c r="F347" s="293">
        <f t="shared" si="134"/>
        <v>2.3839999999999999</v>
      </c>
      <c r="G347" s="230">
        <f t="shared" si="131"/>
        <v>240.56</v>
      </c>
      <c r="H347" s="293">
        <f t="shared" si="131"/>
        <v>0.8</v>
      </c>
      <c r="I347" s="230">
        <f t="shared" ref="I347:Z347" si="135">I8*I$343</f>
        <v>1443.2</v>
      </c>
      <c r="J347" s="293">
        <f t="shared" si="135"/>
        <v>0.4</v>
      </c>
      <c r="K347" s="230">
        <f t="shared" si="135"/>
        <v>1882.4</v>
      </c>
      <c r="L347" s="293">
        <f t="shared" si="135"/>
        <v>0.78400000000000003</v>
      </c>
      <c r="M347" s="230">
        <f t="shared" si="135"/>
        <v>1443.2</v>
      </c>
      <c r="N347" s="293">
        <f t="shared" si="135"/>
        <v>0.4</v>
      </c>
      <c r="O347" s="230">
        <f t="shared" si="135"/>
        <v>8573.6</v>
      </c>
      <c r="P347" s="293">
        <f t="shared" si="135"/>
        <v>2.3839999999999999</v>
      </c>
      <c r="Q347" s="230">
        <f t="shared" si="135"/>
        <v>5718.56</v>
      </c>
      <c r="R347" s="293">
        <f t="shared" si="135"/>
        <v>2.3839999999999999</v>
      </c>
      <c r="S347" s="230">
        <f t="shared" si="135"/>
        <v>5718.56</v>
      </c>
      <c r="T347" s="293">
        <f t="shared" si="135"/>
        <v>2.3839999999999999</v>
      </c>
      <c r="U347" s="230">
        <f t="shared" si="135"/>
        <v>12549.12</v>
      </c>
      <c r="V347" s="293">
        <f t="shared" si="135"/>
        <v>3.92</v>
      </c>
      <c r="W347" s="230">
        <f t="shared" si="135"/>
        <v>2912.64</v>
      </c>
      <c r="X347" s="293">
        <f t="shared" si="135"/>
        <v>0.80799999999999994</v>
      </c>
      <c r="Y347" s="230">
        <f t="shared" si="135"/>
        <v>1924.32</v>
      </c>
      <c r="Z347" s="293">
        <f t="shared" si="135"/>
        <v>0.8</v>
      </c>
    </row>
    <row r="348" spans="1:26" x14ac:dyDescent="0.2">
      <c r="A348" s="699"/>
      <c r="B348" s="272" t="s">
        <v>376</v>
      </c>
      <c r="C348" s="230">
        <f t="shared" ref="C348:D348" si="136">C9*C$343</f>
        <v>0</v>
      </c>
      <c r="D348" s="293">
        <f t="shared" si="136"/>
        <v>0</v>
      </c>
      <c r="E348" s="230">
        <f t="shared" ref="E348:F348" si="137">E9*E$343</f>
        <v>0</v>
      </c>
      <c r="F348" s="293">
        <f t="shared" si="137"/>
        <v>0</v>
      </c>
      <c r="G348" s="230">
        <f t="shared" si="131"/>
        <v>1085.76</v>
      </c>
      <c r="H348" s="293">
        <f t="shared" si="131"/>
        <v>3.6160000000000001</v>
      </c>
      <c r="I348" s="230">
        <f t="shared" ref="I348:Z348" si="138">I9*I$343</f>
        <v>12528</v>
      </c>
      <c r="J348" s="293">
        <f t="shared" si="138"/>
        <v>3.48</v>
      </c>
      <c r="K348" s="230">
        <f t="shared" si="138"/>
        <v>9539.52</v>
      </c>
      <c r="L348" s="293">
        <f t="shared" si="138"/>
        <v>3.9760000000000004</v>
      </c>
      <c r="M348" s="230">
        <f t="shared" si="138"/>
        <v>16282.960000000001</v>
      </c>
      <c r="N348" s="293">
        <f t="shared" si="138"/>
        <v>4.5200000000000005</v>
      </c>
      <c r="O348" s="230">
        <f t="shared" si="138"/>
        <v>36329.360000000001</v>
      </c>
      <c r="P348" s="293">
        <f t="shared" si="138"/>
        <v>10.087999999999999</v>
      </c>
      <c r="Q348" s="230">
        <f t="shared" si="138"/>
        <v>21242.720000000001</v>
      </c>
      <c r="R348" s="293">
        <f t="shared" si="138"/>
        <v>8.847999999999999</v>
      </c>
      <c r="S348" s="230">
        <f t="shared" si="138"/>
        <v>14796.16</v>
      </c>
      <c r="T348" s="293">
        <f t="shared" si="138"/>
        <v>6.1679999999999993</v>
      </c>
      <c r="U348" s="230">
        <f t="shared" si="138"/>
        <v>11007.04</v>
      </c>
      <c r="V348" s="293">
        <f t="shared" si="138"/>
        <v>3.44</v>
      </c>
      <c r="W348" s="230">
        <f t="shared" si="138"/>
        <v>29952</v>
      </c>
      <c r="X348" s="293">
        <f t="shared" si="138"/>
        <v>8.32</v>
      </c>
      <c r="Y348" s="230">
        <f t="shared" si="138"/>
        <v>9354.24</v>
      </c>
      <c r="Z348" s="293">
        <f t="shared" si="138"/>
        <v>3.8960000000000004</v>
      </c>
    </row>
    <row r="349" spans="1:26" x14ac:dyDescent="0.2">
      <c r="A349" s="699"/>
      <c r="B349" s="272" t="s">
        <v>377</v>
      </c>
      <c r="C349" s="230">
        <f t="shared" ref="C349:D349" si="139">C10*C$343</f>
        <v>18.559999999999999</v>
      </c>
      <c r="D349" s="293">
        <f t="shared" si="139"/>
        <v>0.11199999999999999</v>
      </c>
      <c r="E349" s="230">
        <f t="shared" ref="E349:F349" si="140">E10*E$343</f>
        <v>88.16</v>
      </c>
      <c r="F349" s="293">
        <f t="shared" si="140"/>
        <v>9.6000000000000002E-2</v>
      </c>
      <c r="G349" s="230">
        <f t="shared" si="131"/>
        <v>46.800000000000004</v>
      </c>
      <c r="H349" s="293">
        <f t="shared" si="131"/>
        <v>0.16</v>
      </c>
      <c r="I349" s="230">
        <f t="shared" ref="I349:Z349" si="141">I10*I$343</f>
        <v>702.56000000000006</v>
      </c>
      <c r="J349" s="293">
        <f t="shared" si="141"/>
        <v>0.192</v>
      </c>
      <c r="K349" s="230">
        <f t="shared" si="141"/>
        <v>370.8</v>
      </c>
      <c r="L349" s="293">
        <f t="shared" si="141"/>
        <v>0.152</v>
      </c>
      <c r="M349" s="230">
        <f t="shared" si="141"/>
        <v>802.96</v>
      </c>
      <c r="N349" s="293">
        <f t="shared" si="141"/>
        <v>0.22399999999999998</v>
      </c>
      <c r="O349" s="230">
        <f t="shared" si="141"/>
        <v>978.88</v>
      </c>
      <c r="P349" s="293">
        <f t="shared" si="141"/>
        <v>0.27200000000000002</v>
      </c>
      <c r="Q349" s="230">
        <f t="shared" si="141"/>
        <v>294.32</v>
      </c>
      <c r="R349" s="293">
        <f t="shared" si="141"/>
        <v>0.12</v>
      </c>
      <c r="S349" s="230">
        <f t="shared" si="141"/>
        <v>569.91999999999996</v>
      </c>
      <c r="T349" s="293">
        <f t="shared" si="141"/>
        <v>0.24</v>
      </c>
      <c r="U349" s="230">
        <f t="shared" si="141"/>
        <v>499.36</v>
      </c>
      <c r="V349" s="293">
        <f t="shared" si="141"/>
        <v>0.16</v>
      </c>
      <c r="W349" s="230">
        <f t="shared" si="141"/>
        <v>1122.8</v>
      </c>
      <c r="X349" s="293">
        <f t="shared" si="141"/>
        <v>0.312</v>
      </c>
      <c r="Y349" s="230">
        <f t="shared" si="141"/>
        <v>558.4</v>
      </c>
      <c r="Z349" s="293">
        <f t="shared" si="141"/>
        <v>0.23199999999999998</v>
      </c>
    </row>
    <row r="350" spans="1:26" x14ac:dyDescent="0.2">
      <c r="A350" s="699"/>
      <c r="B350" s="272" t="s">
        <v>378</v>
      </c>
      <c r="C350" s="230">
        <f t="shared" ref="C350:D350" si="142">C11*C$343</f>
        <v>173.12</v>
      </c>
      <c r="D350" s="293">
        <f t="shared" si="142"/>
        <v>1.08</v>
      </c>
      <c r="E350" s="230">
        <f t="shared" ref="E350:F350" si="143">E11*E$343</f>
        <v>974</v>
      </c>
      <c r="F350" s="293">
        <f t="shared" si="143"/>
        <v>1.08</v>
      </c>
      <c r="G350" s="230">
        <f t="shared" si="131"/>
        <v>1221.52</v>
      </c>
      <c r="H350" s="293">
        <f t="shared" si="131"/>
        <v>4.0720000000000001</v>
      </c>
      <c r="I350" s="230">
        <f t="shared" ref="I350:Z350" si="144">I11*I$343</f>
        <v>16916.240000000002</v>
      </c>
      <c r="J350" s="293">
        <f t="shared" si="144"/>
        <v>4.6960000000000006</v>
      </c>
      <c r="K350" s="230">
        <f t="shared" si="144"/>
        <v>10060.719999999999</v>
      </c>
      <c r="L350" s="293">
        <f t="shared" si="144"/>
        <v>4.1920000000000002</v>
      </c>
      <c r="M350" s="230">
        <f t="shared" si="144"/>
        <v>16916.240000000002</v>
      </c>
      <c r="N350" s="293">
        <f t="shared" si="144"/>
        <v>4.6960000000000006</v>
      </c>
      <c r="O350" s="230">
        <f t="shared" si="144"/>
        <v>29966.48</v>
      </c>
      <c r="P350" s="293">
        <f t="shared" si="144"/>
        <v>8.3279999999999994</v>
      </c>
      <c r="Q350" s="230">
        <f t="shared" si="144"/>
        <v>19964.560000000001</v>
      </c>
      <c r="R350" s="293">
        <f t="shared" si="144"/>
        <v>8.32</v>
      </c>
      <c r="S350" s="230">
        <f t="shared" si="144"/>
        <v>19964.560000000001</v>
      </c>
      <c r="T350" s="293">
        <f t="shared" si="144"/>
        <v>8.32</v>
      </c>
      <c r="U350" s="230">
        <f t="shared" si="144"/>
        <v>12384</v>
      </c>
      <c r="V350" s="293">
        <f t="shared" si="144"/>
        <v>3.8719999999999999</v>
      </c>
      <c r="W350" s="230">
        <f t="shared" si="144"/>
        <v>37909.840000000004</v>
      </c>
      <c r="X350" s="293">
        <f t="shared" si="144"/>
        <v>10.528</v>
      </c>
      <c r="Y350" s="230">
        <f t="shared" si="144"/>
        <v>10523.52</v>
      </c>
      <c r="Z350" s="293">
        <f t="shared" si="144"/>
        <v>4.3839999999999995</v>
      </c>
    </row>
    <row r="351" spans="1:26" x14ac:dyDescent="0.2">
      <c r="A351" s="699"/>
      <c r="B351" s="272" t="s">
        <v>379</v>
      </c>
      <c r="C351" s="230">
        <f t="shared" ref="C351:D351" si="145">C12*C$343</f>
        <v>266.32</v>
      </c>
      <c r="D351" s="293">
        <f t="shared" si="145"/>
        <v>1.6640000000000001</v>
      </c>
      <c r="E351" s="230">
        <f t="shared" ref="E351:F351" si="146">E12*E$343</f>
        <v>1498.16</v>
      </c>
      <c r="F351" s="293">
        <f t="shared" si="146"/>
        <v>1.6640000000000001</v>
      </c>
      <c r="G351" s="230">
        <f t="shared" si="131"/>
        <v>162.88</v>
      </c>
      <c r="H351" s="293">
        <f t="shared" si="131"/>
        <v>0.54400000000000004</v>
      </c>
      <c r="I351" s="230">
        <f t="shared" ref="I351:Z351" si="147">I12*I$343</f>
        <v>12405.6</v>
      </c>
      <c r="J351" s="293">
        <f t="shared" si="147"/>
        <v>3.4480000000000004</v>
      </c>
      <c r="K351" s="230">
        <f t="shared" si="147"/>
        <v>3219.84</v>
      </c>
      <c r="L351" s="293">
        <f t="shared" si="147"/>
        <v>1.3440000000000001</v>
      </c>
      <c r="M351" s="230">
        <f t="shared" si="147"/>
        <v>12405.6</v>
      </c>
      <c r="N351" s="293">
        <f t="shared" si="147"/>
        <v>3.4480000000000004</v>
      </c>
      <c r="O351" s="230">
        <f t="shared" si="147"/>
        <v>15978.24</v>
      </c>
      <c r="P351" s="293">
        <f t="shared" si="147"/>
        <v>4.4400000000000004</v>
      </c>
      <c r="Q351" s="230">
        <f t="shared" si="147"/>
        <v>5326.08</v>
      </c>
      <c r="R351" s="293">
        <f t="shared" si="147"/>
        <v>2.2160000000000002</v>
      </c>
      <c r="S351" s="230">
        <f t="shared" si="147"/>
        <v>1331.52</v>
      </c>
      <c r="T351" s="293">
        <f t="shared" si="147"/>
        <v>0.55200000000000005</v>
      </c>
      <c r="U351" s="230">
        <f t="shared" si="147"/>
        <v>825.6</v>
      </c>
      <c r="V351" s="293">
        <f t="shared" si="147"/>
        <v>0.25600000000000001</v>
      </c>
      <c r="W351" s="230">
        <f t="shared" si="147"/>
        <v>1347.84</v>
      </c>
      <c r="X351" s="293">
        <f t="shared" si="147"/>
        <v>0.376</v>
      </c>
      <c r="Y351" s="230">
        <f t="shared" si="147"/>
        <v>701.6</v>
      </c>
      <c r="Z351" s="293">
        <f t="shared" si="147"/>
        <v>0.29600000000000004</v>
      </c>
    </row>
    <row r="352" spans="1:26" x14ac:dyDescent="0.2">
      <c r="A352" s="699"/>
      <c r="B352" s="272" t="s">
        <v>380</v>
      </c>
      <c r="C352" s="230">
        <f t="shared" ref="C352:D352" si="148">C13*C$343</f>
        <v>0</v>
      </c>
      <c r="D352" s="293">
        <f t="shared" si="148"/>
        <v>0</v>
      </c>
      <c r="E352" s="230">
        <f t="shared" ref="E352:F352" si="149">E13*E$343</f>
        <v>0</v>
      </c>
      <c r="F352" s="293">
        <f t="shared" si="149"/>
        <v>0</v>
      </c>
      <c r="G352" s="230">
        <f t="shared" si="131"/>
        <v>0</v>
      </c>
      <c r="H352" s="293">
        <f t="shared" si="131"/>
        <v>0</v>
      </c>
      <c r="I352" s="230">
        <f t="shared" ref="I352:Z352" si="150">I13*I$343</f>
        <v>0</v>
      </c>
      <c r="J352" s="293">
        <f t="shared" si="150"/>
        <v>0</v>
      </c>
      <c r="K352" s="230">
        <f t="shared" si="150"/>
        <v>0</v>
      </c>
      <c r="L352" s="293">
        <f t="shared" si="150"/>
        <v>0</v>
      </c>
      <c r="M352" s="230">
        <f t="shared" si="150"/>
        <v>0</v>
      </c>
      <c r="N352" s="293">
        <f t="shared" si="150"/>
        <v>0</v>
      </c>
      <c r="O352" s="230">
        <f t="shared" si="150"/>
        <v>0</v>
      </c>
      <c r="P352" s="293">
        <f t="shared" si="150"/>
        <v>0</v>
      </c>
      <c r="Q352" s="230">
        <f t="shared" si="150"/>
        <v>0</v>
      </c>
      <c r="R352" s="293">
        <f t="shared" si="150"/>
        <v>0</v>
      </c>
      <c r="S352" s="230">
        <f t="shared" si="150"/>
        <v>0</v>
      </c>
      <c r="T352" s="293">
        <f t="shared" si="150"/>
        <v>0</v>
      </c>
      <c r="U352" s="230">
        <f t="shared" si="150"/>
        <v>0</v>
      </c>
      <c r="V352" s="293">
        <f t="shared" si="150"/>
        <v>0</v>
      </c>
      <c r="W352" s="230">
        <f t="shared" si="150"/>
        <v>0</v>
      </c>
      <c r="X352" s="293">
        <f t="shared" si="150"/>
        <v>0</v>
      </c>
      <c r="Y352" s="230">
        <f t="shared" si="150"/>
        <v>0</v>
      </c>
      <c r="Z352" s="293">
        <f t="shared" si="150"/>
        <v>0</v>
      </c>
    </row>
    <row r="353" spans="1:26" x14ac:dyDescent="0.2">
      <c r="A353" s="699"/>
      <c r="B353" s="272" t="s">
        <v>381</v>
      </c>
      <c r="C353" s="230">
        <f t="shared" ref="C353:D353" si="151">C14*C$343</f>
        <v>0</v>
      </c>
      <c r="D353" s="293">
        <f t="shared" si="151"/>
        <v>0</v>
      </c>
      <c r="E353" s="230">
        <f t="shared" ref="E353:F353" si="152">E14*E$343</f>
        <v>0</v>
      </c>
      <c r="F353" s="293">
        <f t="shared" si="152"/>
        <v>0</v>
      </c>
      <c r="G353" s="230">
        <f t="shared" si="131"/>
        <v>0</v>
      </c>
      <c r="H353" s="293">
        <f t="shared" si="131"/>
        <v>0</v>
      </c>
      <c r="I353" s="230">
        <f t="shared" ref="I353:Z353" si="153">I14*I$343</f>
        <v>2227.2000000000003</v>
      </c>
      <c r="J353" s="293">
        <f t="shared" si="153"/>
        <v>0.61599999999999999</v>
      </c>
      <c r="K353" s="230">
        <f t="shared" si="153"/>
        <v>0</v>
      </c>
      <c r="L353" s="293">
        <f t="shared" si="153"/>
        <v>0</v>
      </c>
      <c r="M353" s="230">
        <f t="shared" si="153"/>
        <v>2867.84</v>
      </c>
      <c r="N353" s="293">
        <f t="shared" si="153"/>
        <v>0.8</v>
      </c>
      <c r="O353" s="230">
        <f t="shared" si="153"/>
        <v>5468.08</v>
      </c>
      <c r="P353" s="293">
        <f t="shared" si="153"/>
        <v>1.52</v>
      </c>
      <c r="Q353" s="230">
        <f t="shared" si="153"/>
        <v>0</v>
      </c>
      <c r="R353" s="293">
        <f t="shared" si="153"/>
        <v>0</v>
      </c>
      <c r="S353" s="230">
        <f t="shared" si="153"/>
        <v>2372.2400000000002</v>
      </c>
      <c r="T353" s="293">
        <f t="shared" si="153"/>
        <v>0.9920000000000001</v>
      </c>
      <c r="U353" s="230">
        <f t="shared" si="153"/>
        <v>0</v>
      </c>
      <c r="V353" s="293">
        <f t="shared" si="153"/>
        <v>0</v>
      </c>
      <c r="W353" s="230">
        <f t="shared" si="153"/>
        <v>5613.12</v>
      </c>
      <c r="X353" s="293">
        <f t="shared" si="153"/>
        <v>1.56</v>
      </c>
      <c r="Y353" s="230">
        <f t="shared" si="153"/>
        <v>1777.68</v>
      </c>
      <c r="Z353" s="293">
        <f t="shared" si="153"/>
        <v>0.74400000000000011</v>
      </c>
    </row>
    <row r="354" spans="1:26" s="20" customFormat="1" x14ac:dyDescent="0.2">
      <c r="A354" s="700"/>
      <c r="B354" s="274" t="s">
        <v>382</v>
      </c>
      <c r="C354" s="275">
        <f t="shared" ref="C354:Z354" si="154">SUM(C345:C353)</f>
        <v>6066.96</v>
      </c>
      <c r="D354" s="294">
        <f t="shared" si="154"/>
        <v>37.911999999999999</v>
      </c>
      <c r="E354" s="275">
        <f t="shared" si="154"/>
        <v>28090.720000000001</v>
      </c>
      <c r="F354" s="294">
        <f t="shared" si="154"/>
        <v>31.208000000000006</v>
      </c>
      <c r="G354" s="275">
        <f t="shared" si="154"/>
        <v>13742.64</v>
      </c>
      <c r="H354" s="294">
        <f t="shared" si="154"/>
        <v>45.807999999999993</v>
      </c>
      <c r="I354" s="275">
        <f t="shared" si="154"/>
        <v>119288.88</v>
      </c>
      <c r="J354" s="294">
        <f t="shared" si="154"/>
        <v>33.128</v>
      </c>
      <c r="K354" s="275">
        <f t="shared" si="154"/>
        <v>87153.44</v>
      </c>
      <c r="L354" s="294">
        <f t="shared" si="154"/>
        <v>36.32</v>
      </c>
      <c r="M354" s="275">
        <f t="shared" si="154"/>
        <v>134263.36000000002</v>
      </c>
      <c r="N354" s="294">
        <f t="shared" si="154"/>
        <v>37.295999999999992</v>
      </c>
      <c r="O354" s="275">
        <f t="shared" si="154"/>
        <v>229758</v>
      </c>
      <c r="P354" s="294">
        <f t="shared" si="154"/>
        <v>63.824000000000005</v>
      </c>
      <c r="Q354" s="275">
        <f t="shared" si="154"/>
        <v>127489.36</v>
      </c>
      <c r="R354" s="294">
        <f t="shared" si="154"/>
        <v>53.12</v>
      </c>
      <c r="S354" s="275">
        <f t="shared" si="154"/>
        <v>120773.84000000001</v>
      </c>
      <c r="T354" s="294">
        <f t="shared" si="154"/>
        <v>50.328000000000003</v>
      </c>
      <c r="U354" s="275">
        <f t="shared" si="154"/>
        <v>158947.20000000001</v>
      </c>
      <c r="V354" s="294">
        <f t="shared" si="154"/>
        <v>49.671999999999997</v>
      </c>
      <c r="W354" s="275">
        <f t="shared" si="154"/>
        <v>187308</v>
      </c>
      <c r="X354" s="294">
        <f t="shared" si="154"/>
        <v>52.031999999999996</v>
      </c>
      <c r="Y354" s="275">
        <f t="shared" si="154"/>
        <v>96115.12000000001</v>
      </c>
      <c r="Z354" s="294">
        <f t="shared" si="154"/>
        <v>40.048000000000002</v>
      </c>
    </row>
    <row r="355" spans="1:26" s="227" customFormat="1" x14ac:dyDescent="0.2">
      <c r="A355" s="386"/>
      <c r="B355" s="195"/>
      <c r="C355" s="268"/>
      <c r="D355" s="268"/>
      <c r="E355" s="268"/>
      <c r="F355" s="268"/>
      <c r="G355" s="268"/>
      <c r="H355" s="268"/>
      <c r="I355" s="268"/>
      <c r="J355" s="268"/>
      <c r="K355" s="268"/>
      <c r="L355" s="268"/>
      <c r="M355" s="268"/>
      <c r="N355" s="268"/>
      <c r="O355" s="268"/>
      <c r="P355" s="268"/>
      <c r="Q355" s="268"/>
      <c r="R355" s="268"/>
      <c r="S355" s="268"/>
      <c r="T355" s="268"/>
      <c r="U355" s="268"/>
      <c r="V355" s="268"/>
      <c r="W355" s="268"/>
      <c r="X355" s="268"/>
      <c r="Y355" s="268"/>
      <c r="Z355" s="268"/>
    </row>
    <row r="356" spans="1:26" s="202" customFormat="1" ht="13.15" customHeight="1" x14ac:dyDescent="0.2">
      <c r="A356" s="698" t="s">
        <v>914</v>
      </c>
      <c r="B356" s="269" t="s">
        <v>962</v>
      </c>
      <c r="C356" s="368"/>
      <c r="D356" s="369"/>
      <c r="E356" s="368"/>
      <c r="F356" s="369"/>
      <c r="G356" s="598" t="s">
        <v>962</v>
      </c>
      <c r="H356" s="314"/>
      <c r="I356" s="598" t="s">
        <v>962</v>
      </c>
      <c r="J356" s="314"/>
      <c r="K356" s="598" t="s">
        <v>962</v>
      </c>
      <c r="L356" s="314"/>
      <c r="M356" s="598" t="s">
        <v>962</v>
      </c>
      <c r="N356" s="314"/>
      <c r="O356" s="598" t="s">
        <v>962</v>
      </c>
      <c r="P356" s="314"/>
      <c r="Q356" s="598" t="s">
        <v>962</v>
      </c>
      <c r="R356" s="314"/>
      <c r="S356" s="598" t="s">
        <v>962</v>
      </c>
      <c r="T356" s="314"/>
      <c r="U356" s="598" t="s">
        <v>962</v>
      </c>
      <c r="V356" s="314"/>
      <c r="W356" s="598" t="s">
        <v>962</v>
      </c>
      <c r="X356" s="314"/>
      <c r="Y356" s="598" t="s">
        <v>962</v>
      </c>
      <c r="Z356" s="314"/>
    </row>
    <row r="357" spans="1:26" x14ac:dyDescent="0.2">
      <c r="A357" s="699"/>
      <c r="B357" s="26" t="s">
        <v>968</v>
      </c>
      <c r="C357" s="372"/>
      <c r="D357" s="381"/>
      <c r="E357" s="372"/>
      <c r="F357" s="381"/>
      <c r="G357" s="600">
        <v>0.1</v>
      </c>
      <c r="H357" s="601">
        <v>0.1</v>
      </c>
      <c r="I357" s="597">
        <v>0.1</v>
      </c>
      <c r="J357" s="599">
        <v>0.1</v>
      </c>
      <c r="K357" s="597">
        <v>0.1</v>
      </c>
      <c r="L357" s="599">
        <v>0.1</v>
      </c>
      <c r="M357" s="597">
        <v>0.1</v>
      </c>
      <c r="N357" s="599">
        <v>0.1</v>
      </c>
      <c r="O357" s="597">
        <v>0.1</v>
      </c>
      <c r="P357" s="599">
        <v>0.1</v>
      </c>
      <c r="Q357" s="597">
        <v>0.1</v>
      </c>
      <c r="R357" s="599">
        <v>0.1</v>
      </c>
      <c r="S357" s="597">
        <v>0.1</v>
      </c>
      <c r="T357" s="599">
        <v>0.1</v>
      </c>
      <c r="U357" s="597">
        <v>0.1</v>
      </c>
      <c r="V357" s="599">
        <v>0.1</v>
      </c>
      <c r="W357" s="597">
        <v>0.1</v>
      </c>
      <c r="X357" s="599">
        <v>0.1</v>
      </c>
      <c r="Y357" s="597">
        <v>0.1</v>
      </c>
      <c r="Z357" s="599">
        <v>0.1</v>
      </c>
    </row>
    <row r="358" spans="1:26" s="216" customFormat="1" x14ac:dyDescent="0.2">
      <c r="A358" s="699"/>
      <c r="B358" s="283" t="s">
        <v>491</v>
      </c>
      <c r="C358" s="353"/>
      <c r="D358" s="354"/>
      <c r="E358" s="353"/>
      <c r="F358" s="374"/>
      <c r="G358" s="289" t="s">
        <v>372</v>
      </c>
      <c r="H358" s="291" t="s">
        <v>397</v>
      </c>
      <c r="I358" s="289" t="s">
        <v>372</v>
      </c>
      <c r="J358" s="291" t="s">
        <v>397</v>
      </c>
      <c r="K358" s="289" t="s">
        <v>372</v>
      </c>
      <c r="L358" s="291" t="s">
        <v>397</v>
      </c>
      <c r="M358" s="289" t="s">
        <v>372</v>
      </c>
      <c r="N358" s="291" t="s">
        <v>397</v>
      </c>
      <c r="O358" s="289" t="s">
        <v>372</v>
      </c>
      <c r="P358" s="291" t="s">
        <v>397</v>
      </c>
      <c r="Q358" s="289" t="s">
        <v>372</v>
      </c>
      <c r="R358" s="291" t="s">
        <v>397</v>
      </c>
      <c r="S358" s="289" t="s">
        <v>372</v>
      </c>
      <c r="T358" s="291" t="s">
        <v>397</v>
      </c>
      <c r="U358" s="289" t="s">
        <v>372</v>
      </c>
      <c r="V358" s="291" t="s">
        <v>397</v>
      </c>
      <c r="W358" s="289" t="s">
        <v>372</v>
      </c>
      <c r="X358" s="291" t="s">
        <v>397</v>
      </c>
      <c r="Y358" s="289" t="s">
        <v>372</v>
      </c>
      <c r="Z358" s="291" t="s">
        <v>397</v>
      </c>
    </row>
    <row r="359" spans="1:26" x14ac:dyDescent="0.2">
      <c r="A359" s="699"/>
      <c r="B359" s="272" t="s">
        <v>373</v>
      </c>
      <c r="C359" s="355"/>
      <c r="D359" s="356"/>
      <c r="E359" s="355"/>
      <c r="F359" s="384"/>
      <c r="G359" s="230">
        <f t="shared" ref="G359:Z359" si="155">G6*G$357</f>
        <v>11662.1</v>
      </c>
      <c r="H359" s="293">
        <f t="shared" si="155"/>
        <v>38.870000000000005</v>
      </c>
      <c r="I359" s="230">
        <f t="shared" si="155"/>
        <v>69570.8</v>
      </c>
      <c r="J359" s="293">
        <f t="shared" si="155"/>
        <v>19.330000000000002</v>
      </c>
      <c r="K359" s="230">
        <f t="shared" si="155"/>
        <v>58121.8</v>
      </c>
      <c r="L359" s="293">
        <f t="shared" si="155"/>
        <v>24.22</v>
      </c>
      <c r="M359" s="230">
        <f t="shared" si="155"/>
        <v>76086.8</v>
      </c>
      <c r="N359" s="293">
        <f t="shared" si="155"/>
        <v>21.14</v>
      </c>
      <c r="O359" s="230">
        <f t="shared" si="155"/>
        <v>100376.20000000001</v>
      </c>
      <c r="P359" s="293">
        <f t="shared" si="155"/>
        <v>27.880000000000003</v>
      </c>
      <c r="Q359" s="230">
        <f t="shared" si="155"/>
        <v>50535.600000000006</v>
      </c>
      <c r="R359" s="293">
        <f t="shared" si="155"/>
        <v>21.060000000000002</v>
      </c>
      <c r="S359" s="230">
        <f t="shared" si="155"/>
        <v>69627.400000000009</v>
      </c>
      <c r="T359" s="293">
        <f t="shared" si="155"/>
        <v>29.010000000000005</v>
      </c>
      <c r="U359" s="230">
        <f t="shared" si="155"/>
        <v>124440.20000000001</v>
      </c>
      <c r="V359" s="293">
        <f t="shared" si="155"/>
        <v>38.89</v>
      </c>
      <c r="W359" s="230">
        <f t="shared" si="155"/>
        <v>86187</v>
      </c>
      <c r="X359" s="293">
        <f t="shared" si="155"/>
        <v>23.94</v>
      </c>
      <c r="Y359" s="230">
        <f t="shared" si="155"/>
        <v>73131.100000000006</v>
      </c>
      <c r="Z359" s="293">
        <f t="shared" si="155"/>
        <v>30.47</v>
      </c>
    </row>
    <row r="360" spans="1:26" x14ac:dyDescent="0.2">
      <c r="A360" s="699"/>
      <c r="B360" s="272" t="s">
        <v>374</v>
      </c>
      <c r="C360" s="355"/>
      <c r="D360" s="356"/>
      <c r="E360" s="355"/>
      <c r="F360" s="384"/>
      <c r="G360" s="230">
        <f t="shared" ref="G360:G367" si="156">G7*G$357</f>
        <v>2069.3000000000002</v>
      </c>
      <c r="H360" s="293">
        <f t="shared" ref="H360:I360" si="157">H7*H$357</f>
        <v>6.9</v>
      </c>
      <c r="I360" s="230">
        <f t="shared" si="157"/>
        <v>21761.800000000003</v>
      </c>
      <c r="J360" s="293">
        <f t="shared" ref="J360:Z360" si="158">J7*J$357</f>
        <v>6.04</v>
      </c>
      <c r="K360" s="230">
        <f t="shared" si="158"/>
        <v>19478.400000000001</v>
      </c>
      <c r="L360" s="293">
        <f t="shared" si="158"/>
        <v>8.120000000000001</v>
      </c>
      <c r="M360" s="230">
        <f t="shared" si="158"/>
        <v>28343.9</v>
      </c>
      <c r="N360" s="293">
        <f t="shared" si="158"/>
        <v>7.870000000000001</v>
      </c>
      <c r="O360" s="230">
        <f t="shared" si="158"/>
        <v>65203</v>
      </c>
      <c r="P360" s="293">
        <f t="shared" si="158"/>
        <v>18.11</v>
      </c>
      <c r="Q360" s="230">
        <f t="shared" si="158"/>
        <v>43143.3</v>
      </c>
      <c r="R360" s="293">
        <f t="shared" si="158"/>
        <v>17.98</v>
      </c>
      <c r="S360" s="230">
        <f t="shared" si="158"/>
        <v>25398.7</v>
      </c>
      <c r="T360" s="293">
        <f t="shared" si="158"/>
        <v>10.58</v>
      </c>
      <c r="U360" s="230">
        <f t="shared" si="158"/>
        <v>27662.400000000001</v>
      </c>
      <c r="V360" s="293">
        <f t="shared" si="158"/>
        <v>8.64</v>
      </c>
      <c r="W360" s="230">
        <f t="shared" si="158"/>
        <v>49375.200000000004</v>
      </c>
      <c r="X360" s="293">
        <f t="shared" si="158"/>
        <v>13.719999999999999</v>
      </c>
      <c r="Y360" s="230">
        <f t="shared" si="158"/>
        <v>15963.1</v>
      </c>
      <c r="Z360" s="293">
        <f t="shared" si="158"/>
        <v>6.65</v>
      </c>
    </row>
    <row r="361" spans="1:26" x14ac:dyDescent="0.2">
      <c r="A361" s="699"/>
      <c r="B361" s="272" t="s">
        <v>375</v>
      </c>
      <c r="C361" s="355"/>
      <c r="D361" s="356"/>
      <c r="E361" s="355"/>
      <c r="F361" s="384"/>
      <c r="G361" s="230"/>
      <c r="H361" s="293"/>
      <c r="I361" s="230"/>
      <c r="J361" s="293"/>
      <c r="K361" s="230"/>
      <c r="L361" s="293"/>
      <c r="M361" s="230"/>
      <c r="N361" s="293"/>
      <c r="O361" s="230"/>
      <c r="P361" s="293"/>
      <c r="Q361" s="230"/>
      <c r="R361" s="293"/>
      <c r="S361" s="230"/>
      <c r="T361" s="293"/>
      <c r="U361" s="230"/>
      <c r="V361" s="293"/>
      <c r="W361" s="230"/>
      <c r="X361" s="293"/>
      <c r="Y361" s="230"/>
      <c r="Z361" s="293"/>
    </row>
    <row r="362" spans="1:26" x14ac:dyDescent="0.2">
      <c r="A362" s="699"/>
      <c r="B362" s="272" t="s">
        <v>376</v>
      </c>
      <c r="C362" s="355"/>
      <c r="D362" s="356"/>
      <c r="E362" s="355"/>
      <c r="F362" s="384"/>
      <c r="G362" s="230">
        <f t="shared" si="156"/>
        <v>1357.2</v>
      </c>
      <c r="H362" s="293">
        <f t="shared" ref="H362:I362" si="159">H9*H$357</f>
        <v>4.5200000000000005</v>
      </c>
      <c r="I362" s="230">
        <f t="shared" si="159"/>
        <v>15660</v>
      </c>
      <c r="J362" s="293">
        <f t="shared" ref="J362:Z362" si="160">J9*J$357</f>
        <v>4.3500000000000005</v>
      </c>
      <c r="K362" s="230">
        <f t="shared" si="160"/>
        <v>11924.400000000001</v>
      </c>
      <c r="L362" s="293">
        <f t="shared" si="160"/>
        <v>4.9700000000000006</v>
      </c>
      <c r="M362" s="230">
        <f t="shared" si="160"/>
        <v>20353.7</v>
      </c>
      <c r="N362" s="293">
        <f t="shared" si="160"/>
        <v>5.65</v>
      </c>
      <c r="O362" s="230">
        <f t="shared" si="160"/>
        <v>45411.700000000004</v>
      </c>
      <c r="P362" s="293">
        <f t="shared" si="160"/>
        <v>12.61</v>
      </c>
      <c r="Q362" s="230">
        <f t="shared" si="160"/>
        <v>26553.4</v>
      </c>
      <c r="R362" s="293">
        <f t="shared" si="160"/>
        <v>11.06</v>
      </c>
      <c r="S362" s="230">
        <f t="shared" si="160"/>
        <v>18495.2</v>
      </c>
      <c r="T362" s="293">
        <f t="shared" si="160"/>
        <v>7.71</v>
      </c>
      <c r="U362" s="230">
        <f t="shared" si="160"/>
        <v>13758.800000000001</v>
      </c>
      <c r="V362" s="293">
        <f t="shared" si="160"/>
        <v>4.3</v>
      </c>
      <c r="W362" s="230">
        <f t="shared" si="160"/>
        <v>37440</v>
      </c>
      <c r="X362" s="293">
        <f t="shared" si="160"/>
        <v>10.4</v>
      </c>
      <c r="Y362" s="230">
        <f t="shared" si="160"/>
        <v>11692.800000000001</v>
      </c>
      <c r="Z362" s="293">
        <f t="shared" si="160"/>
        <v>4.870000000000001</v>
      </c>
    </row>
    <row r="363" spans="1:26" x14ac:dyDescent="0.2">
      <c r="A363" s="699"/>
      <c r="B363" s="272" t="s">
        <v>377</v>
      </c>
      <c r="C363" s="355"/>
      <c r="D363" s="356"/>
      <c r="E363" s="355"/>
      <c r="F363" s="384"/>
      <c r="G363" s="230">
        <f t="shared" si="156"/>
        <v>58.5</v>
      </c>
      <c r="H363" s="293">
        <f t="shared" ref="H363:I363" si="161">H10*H$357</f>
        <v>0.2</v>
      </c>
      <c r="I363" s="230">
        <f t="shared" si="161"/>
        <v>878.2</v>
      </c>
      <c r="J363" s="293">
        <f t="shared" ref="J363:Z363" si="162">J10*J$357</f>
        <v>0.24</v>
      </c>
      <c r="K363" s="230">
        <f t="shared" si="162"/>
        <v>463.5</v>
      </c>
      <c r="L363" s="293">
        <f t="shared" si="162"/>
        <v>0.19</v>
      </c>
      <c r="M363" s="230">
        <f t="shared" si="162"/>
        <v>1003.7</v>
      </c>
      <c r="N363" s="293">
        <f t="shared" si="162"/>
        <v>0.27999999999999997</v>
      </c>
      <c r="O363" s="230">
        <f t="shared" si="162"/>
        <v>1223.6000000000001</v>
      </c>
      <c r="P363" s="293">
        <f t="shared" si="162"/>
        <v>0.34</v>
      </c>
      <c r="Q363" s="230">
        <f t="shared" si="162"/>
        <v>367.90000000000003</v>
      </c>
      <c r="R363" s="293">
        <f t="shared" si="162"/>
        <v>0.15000000000000002</v>
      </c>
      <c r="S363" s="230">
        <f t="shared" si="162"/>
        <v>712.40000000000009</v>
      </c>
      <c r="T363" s="293">
        <f t="shared" si="162"/>
        <v>0.30000000000000004</v>
      </c>
      <c r="U363" s="230">
        <f t="shared" si="162"/>
        <v>624.20000000000005</v>
      </c>
      <c r="V363" s="293">
        <f t="shared" si="162"/>
        <v>0.2</v>
      </c>
      <c r="W363" s="230">
        <f t="shared" si="162"/>
        <v>1403.5</v>
      </c>
      <c r="X363" s="293">
        <f t="shared" si="162"/>
        <v>0.39</v>
      </c>
      <c r="Y363" s="230">
        <f t="shared" si="162"/>
        <v>698</v>
      </c>
      <c r="Z363" s="293">
        <f t="shared" si="162"/>
        <v>0.28999999999999998</v>
      </c>
    </row>
    <row r="364" spans="1:26" x14ac:dyDescent="0.2">
      <c r="A364" s="699"/>
      <c r="B364" s="272" t="s">
        <v>378</v>
      </c>
      <c r="C364" s="355"/>
      <c r="D364" s="356"/>
      <c r="E364" s="355"/>
      <c r="F364" s="384"/>
      <c r="G364" s="230"/>
      <c r="H364" s="293"/>
      <c r="I364" s="230"/>
      <c r="J364" s="293"/>
      <c r="K364" s="230"/>
      <c r="L364" s="293"/>
      <c r="M364" s="230"/>
      <c r="N364" s="293"/>
      <c r="O364" s="230"/>
      <c r="P364" s="293"/>
      <c r="Q364" s="230"/>
      <c r="R364" s="293"/>
      <c r="S364" s="230"/>
      <c r="T364" s="293"/>
      <c r="U364" s="230"/>
      <c r="V364" s="293"/>
      <c r="W364" s="230"/>
      <c r="X364" s="293"/>
      <c r="Y364" s="230"/>
      <c r="Z364" s="293"/>
    </row>
    <row r="365" spans="1:26" x14ac:dyDescent="0.2">
      <c r="A365" s="699"/>
      <c r="B365" s="272" t="s">
        <v>379</v>
      </c>
      <c r="C365" s="355"/>
      <c r="D365" s="356"/>
      <c r="E365" s="355"/>
      <c r="F365" s="384"/>
      <c r="G365" s="230"/>
      <c r="H365" s="293"/>
      <c r="I365" s="230"/>
      <c r="J365" s="293"/>
      <c r="K365" s="230"/>
      <c r="L365" s="293"/>
      <c r="M365" s="230"/>
      <c r="N365" s="293"/>
      <c r="O365" s="230"/>
      <c r="P365" s="293"/>
      <c r="Q365" s="230"/>
      <c r="R365" s="293"/>
      <c r="S365" s="230"/>
      <c r="T365" s="293"/>
      <c r="U365" s="230"/>
      <c r="V365" s="293"/>
      <c r="W365" s="230"/>
      <c r="X365" s="293"/>
      <c r="Y365" s="230"/>
      <c r="Z365" s="293"/>
    </row>
    <row r="366" spans="1:26" x14ac:dyDescent="0.2">
      <c r="A366" s="699"/>
      <c r="B366" s="272" t="s">
        <v>380</v>
      </c>
      <c r="C366" s="355"/>
      <c r="D366" s="356"/>
      <c r="E366" s="355"/>
      <c r="F366" s="384"/>
      <c r="G366" s="230"/>
      <c r="H366" s="293"/>
      <c r="I366" s="230"/>
      <c r="J366" s="293"/>
      <c r="K366" s="230"/>
      <c r="L366" s="293"/>
      <c r="M366" s="230"/>
      <c r="N366" s="293"/>
      <c r="O366" s="230"/>
      <c r="P366" s="293"/>
      <c r="Q366" s="230"/>
      <c r="R366" s="293"/>
      <c r="S366" s="230"/>
      <c r="T366" s="293"/>
      <c r="U366" s="230"/>
      <c r="V366" s="293"/>
      <c r="W366" s="230"/>
      <c r="X366" s="293"/>
      <c r="Y366" s="230"/>
      <c r="Z366" s="293"/>
    </row>
    <row r="367" spans="1:26" x14ac:dyDescent="0.2">
      <c r="A367" s="699"/>
      <c r="B367" s="272" t="s">
        <v>381</v>
      </c>
      <c r="C367" s="355"/>
      <c r="D367" s="356"/>
      <c r="E367" s="355"/>
      <c r="F367" s="384"/>
      <c r="G367" s="230">
        <f t="shared" si="156"/>
        <v>0</v>
      </c>
      <c r="H367" s="293">
        <f t="shared" ref="H367:I367" si="163">H14*H$357</f>
        <v>0</v>
      </c>
      <c r="I367" s="230">
        <f t="shared" si="163"/>
        <v>2784</v>
      </c>
      <c r="J367" s="293">
        <f t="shared" ref="J367:Z367" si="164">J14*J$357</f>
        <v>0.77</v>
      </c>
      <c r="K367" s="230">
        <f t="shared" si="164"/>
        <v>0</v>
      </c>
      <c r="L367" s="293">
        <f t="shared" si="164"/>
        <v>0</v>
      </c>
      <c r="M367" s="230">
        <f t="shared" si="164"/>
        <v>3584.8</v>
      </c>
      <c r="N367" s="293">
        <f t="shared" si="164"/>
        <v>1</v>
      </c>
      <c r="O367" s="230">
        <f t="shared" si="164"/>
        <v>6835.1</v>
      </c>
      <c r="P367" s="293">
        <f t="shared" si="164"/>
        <v>1.9000000000000001</v>
      </c>
      <c r="Q367" s="230">
        <f t="shared" si="164"/>
        <v>0</v>
      </c>
      <c r="R367" s="293">
        <f t="shared" si="164"/>
        <v>0</v>
      </c>
      <c r="S367" s="230">
        <f t="shared" si="164"/>
        <v>2965.3</v>
      </c>
      <c r="T367" s="293">
        <f t="shared" si="164"/>
        <v>1.2400000000000002</v>
      </c>
      <c r="U367" s="230">
        <f t="shared" si="164"/>
        <v>0</v>
      </c>
      <c r="V367" s="293">
        <f t="shared" si="164"/>
        <v>0</v>
      </c>
      <c r="W367" s="230">
        <f t="shared" si="164"/>
        <v>7016.4000000000005</v>
      </c>
      <c r="X367" s="293">
        <f t="shared" si="164"/>
        <v>1.9500000000000002</v>
      </c>
      <c r="Y367" s="230">
        <f t="shared" si="164"/>
        <v>2222.1</v>
      </c>
      <c r="Z367" s="293">
        <f t="shared" si="164"/>
        <v>0.93000000000000016</v>
      </c>
    </row>
    <row r="368" spans="1:26" s="20" customFormat="1" x14ac:dyDescent="0.2">
      <c r="A368" s="700"/>
      <c r="B368" s="274" t="s">
        <v>382</v>
      </c>
      <c r="C368" s="357"/>
      <c r="D368" s="358"/>
      <c r="E368" s="357"/>
      <c r="F368" s="385"/>
      <c r="G368" s="275">
        <f t="shared" ref="G368:Z368" si="165">SUM(G359:G367)</f>
        <v>15147.100000000002</v>
      </c>
      <c r="H368" s="294">
        <f t="shared" si="165"/>
        <v>50.490000000000009</v>
      </c>
      <c r="I368" s="275">
        <f t="shared" si="165"/>
        <v>110654.8</v>
      </c>
      <c r="J368" s="294">
        <f t="shared" si="165"/>
        <v>30.73</v>
      </c>
      <c r="K368" s="275">
        <f t="shared" si="165"/>
        <v>89988.1</v>
      </c>
      <c r="L368" s="294">
        <f t="shared" si="165"/>
        <v>37.5</v>
      </c>
      <c r="M368" s="275">
        <f t="shared" si="165"/>
        <v>129372.90000000001</v>
      </c>
      <c r="N368" s="294">
        <f t="shared" si="165"/>
        <v>35.940000000000005</v>
      </c>
      <c r="O368" s="275">
        <f t="shared" si="165"/>
        <v>219049.60000000003</v>
      </c>
      <c r="P368" s="294">
        <f t="shared" si="165"/>
        <v>60.84</v>
      </c>
      <c r="Q368" s="275">
        <f t="shared" si="165"/>
        <v>120600.20000000001</v>
      </c>
      <c r="R368" s="294">
        <f t="shared" si="165"/>
        <v>50.250000000000007</v>
      </c>
      <c r="S368" s="275">
        <f t="shared" si="165"/>
        <v>117199</v>
      </c>
      <c r="T368" s="294">
        <f t="shared" si="165"/>
        <v>48.84</v>
      </c>
      <c r="U368" s="275">
        <f t="shared" si="165"/>
        <v>166485.6</v>
      </c>
      <c r="V368" s="294">
        <f t="shared" si="165"/>
        <v>52.03</v>
      </c>
      <c r="W368" s="275">
        <f t="shared" si="165"/>
        <v>181422.1</v>
      </c>
      <c r="X368" s="294">
        <f t="shared" si="165"/>
        <v>50.4</v>
      </c>
      <c r="Y368" s="275">
        <f t="shared" si="165"/>
        <v>103707.10000000002</v>
      </c>
      <c r="Z368" s="294">
        <f t="shared" si="165"/>
        <v>43.209999999999994</v>
      </c>
    </row>
    <row r="369" spans="1:26" s="227" customFormat="1" x14ac:dyDescent="0.2">
      <c r="A369" s="386"/>
      <c r="B369" s="195"/>
      <c r="C369" s="268"/>
      <c r="D369" s="268"/>
      <c r="E369" s="268"/>
      <c r="F369" s="268"/>
      <c r="G369" s="268"/>
      <c r="H369" s="268"/>
      <c r="I369" s="268"/>
      <c r="J369" s="268"/>
      <c r="K369" s="268"/>
      <c r="L369" s="268"/>
      <c r="M369" s="268"/>
      <c r="N369" s="268"/>
      <c r="O369" s="268"/>
      <c r="P369" s="268"/>
      <c r="Q369" s="268"/>
      <c r="R369" s="268"/>
      <c r="S369" s="268"/>
      <c r="T369" s="268"/>
      <c r="U369" s="268"/>
      <c r="V369" s="268"/>
      <c r="W369" s="268"/>
      <c r="X369" s="268"/>
      <c r="Y369" s="268"/>
      <c r="Z369" s="268"/>
    </row>
    <row r="370" spans="1:26" s="227" customFormat="1" x14ac:dyDescent="0.2">
      <c r="A370" s="386"/>
      <c r="B370" s="195"/>
      <c r="C370" s="268"/>
      <c r="D370" s="268"/>
      <c r="E370" s="268"/>
      <c r="F370" s="268"/>
      <c r="G370" s="268"/>
      <c r="H370" s="268"/>
      <c r="I370" s="268"/>
      <c r="J370" s="268"/>
      <c r="K370" s="268"/>
      <c r="L370" s="268"/>
      <c r="M370" s="268"/>
      <c r="N370" s="268"/>
      <c r="O370" s="268"/>
      <c r="P370" s="268"/>
      <c r="Q370" s="268"/>
      <c r="R370" s="268"/>
      <c r="S370" s="268"/>
      <c r="T370" s="268"/>
      <c r="U370" s="268"/>
      <c r="V370" s="268"/>
      <c r="W370" s="268"/>
      <c r="X370" s="268"/>
      <c r="Y370" s="268"/>
      <c r="Z370" s="268"/>
    </row>
  </sheetData>
  <mergeCells count="14">
    <mergeCell ref="A342:A354"/>
    <mergeCell ref="A356:A368"/>
    <mergeCell ref="A5:A15"/>
    <mergeCell ref="A17:A42"/>
    <mergeCell ref="A44:A67"/>
    <mergeCell ref="A69:A92"/>
    <mergeCell ref="A94:A121"/>
    <mergeCell ref="A264:A298"/>
    <mergeCell ref="A300:A340"/>
    <mergeCell ref="A123:A148"/>
    <mergeCell ref="A150:A173"/>
    <mergeCell ref="A175:A212"/>
    <mergeCell ref="A214:A237"/>
    <mergeCell ref="A239:A262"/>
  </mergeCells>
  <pageMargins left="0.25" right="0.25" top="0.75" bottom="0.75" header="0.3" footer="0.3"/>
  <pageSetup paperSize="9" scale="36" fitToHeight="3"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5"/>
  <sheetViews>
    <sheetView zoomScale="80" zoomScaleNormal="80" workbookViewId="0">
      <pane xSplit="2" ySplit="4" topLeftCell="C5" activePane="bottomRight" state="frozen"/>
      <selection pane="topRight" activeCell="C1" sqref="C1"/>
      <selection pane="bottomLeft" activeCell="A5" sqref="A5"/>
      <selection pane="bottomRight" activeCell="B298" sqref="A298:XFD298"/>
    </sheetView>
  </sheetViews>
  <sheetFormatPr baseColWidth="10" defaultColWidth="11.42578125" defaultRowHeight="12.75" x14ac:dyDescent="0.2"/>
  <cols>
    <col min="1" max="1" width="6.7109375" style="202" customWidth="1"/>
    <col min="2" max="2" width="56.42578125" style="157" customWidth="1"/>
    <col min="3" max="3" width="15.28515625" style="206" customWidth="1"/>
    <col min="4" max="4" width="14.42578125" style="224" customWidth="1"/>
    <col min="5" max="5" width="13.85546875" style="201" bestFit="1" customWidth="1"/>
    <col min="6" max="6" width="13.7109375" style="201" customWidth="1"/>
    <col min="7" max="7" width="13.85546875" style="201" bestFit="1" customWidth="1"/>
    <col min="8" max="8" width="15.85546875" style="201" customWidth="1"/>
    <col min="9" max="9" width="15" style="201" customWidth="1"/>
    <col min="10" max="10" width="16" style="201" customWidth="1"/>
    <col min="11" max="11" width="13.85546875" style="201" bestFit="1" customWidth="1"/>
    <col min="12" max="12" width="15.85546875" style="201" customWidth="1"/>
    <col min="13" max="13" width="14.28515625" style="201" customWidth="1"/>
    <col min="14" max="14" width="15.7109375" style="201" customWidth="1"/>
    <col min="15" max="15" width="13.85546875" style="201" bestFit="1" customWidth="1"/>
    <col min="16" max="16" width="14.85546875" style="201" customWidth="1"/>
    <col min="17" max="17" width="13.85546875" style="201" bestFit="1" customWidth="1"/>
    <col min="18" max="18" width="14.7109375" style="201" customWidth="1"/>
    <col min="19" max="19" width="13.85546875" style="201" bestFit="1" customWidth="1"/>
    <col min="20" max="20" width="14.7109375" style="201" customWidth="1"/>
    <col min="21" max="21" width="13.85546875" style="201" bestFit="1" customWidth="1"/>
    <col min="22" max="22" width="15.140625" style="201" customWidth="1"/>
    <col min="23" max="23" width="14.28515625" style="201" customWidth="1"/>
    <col min="24" max="24" width="14.140625" style="201" customWidth="1"/>
    <col min="25" max="25" width="13.85546875" style="201" bestFit="1" customWidth="1"/>
    <col min="26" max="26" width="14" style="201" customWidth="1"/>
    <col min="27" max="208" width="11.42578125" style="201"/>
    <col min="209" max="209" width="16.7109375" style="201" customWidth="1"/>
    <col min="210" max="214" width="0" style="201" hidden="1" customWidth="1"/>
    <col min="215" max="215" width="29.7109375" style="201" customWidth="1"/>
    <col min="216" max="224" width="13.7109375" style="201" customWidth="1"/>
    <col min="225" max="225" width="14.140625" style="201" customWidth="1"/>
    <col min="226" max="233" width="13.7109375" style="201" customWidth="1"/>
    <col min="234" max="235" width="14.7109375" style="201" customWidth="1"/>
    <col min="236" max="238" width="13.7109375" style="201" customWidth="1"/>
    <col min="239" max="243" width="14.140625" style="201" customWidth="1"/>
    <col min="244" max="464" width="11.42578125" style="201"/>
    <col min="465" max="465" width="16.7109375" style="201" customWidth="1"/>
    <col min="466" max="470" width="0" style="201" hidden="1" customWidth="1"/>
    <col min="471" max="471" width="29.7109375" style="201" customWidth="1"/>
    <col min="472" max="480" width="13.7109375" style="201" customWidth="1"/>
    <col min="481" max="481" width="14.140625" style="201" customWidth="1"/>
    <col min="482" max="489" width="13.7109375" style="201" customWidth="1"/>
    <col min="490" max="491" width="14.7109375" style="201" customWidth="1"/>
    <col min="492" max="494" width="13.7109375" style="201" customWidth="1"/>
    <col min="495" max="499" width="14.140625" style="201" customWidth="1"/>
    <col min="500" max="720" width="11.42578125" style="201"/>
    <col min="721" max="721" width="16.7109375" style="201" customWidth="1"/>
    <col min="722" max="726" width="0" style="201" hidden="1" customWidth="1"/>
    <col min="727" max="727" width="29.7109375" style="201" customWidth="1"/>
    <col min="728" max="736" width="13.7109375" style="201" customWidth="1"/>
    <col min="737" max="737" width="14.140625" style="201" customWidth="1"/>
    <col min="738" max="745" width="13.7109375" style="201" customWidth="1"/>
    <col min="746" max="747" width="14.7109375" style="201" customWidth="1"/>
    <col min="748" max="750" width="13.7109375" style="201" customWidth="1"/>
    <col min="751" max="755" width="14.140625" style="201" customWidth="1"/>
    <col min="756" max="976" width="11.42578125" style="201"/>
    <col min="977" max="977" width="16.7109375" style="201" customWidth="1"/>
    <col min="978" max="982" width="0" style="201" hidden="1" customWidth="1"/>
    <col min="983" max="983" width="29.7109375" style="201" customWidth="1"/>
    <col min="984" max="992" width="13.7109375" style="201" customWidth="1"/>
    <col min="993" max="993" width="14.140625" style="201" customWidth="1"/>
    <col min="994" max="1001" width="13.7109375" style="201" customWidth="1"/>
    <col min="1002" max="1003" width="14.7109375" style="201" customWidth="1"/>
    <col min="1004" max="1006" width="13.7109375" style="201" customWidth="1"/>
    <col min="1007" max="1011" width="14.140625" style="201" customWidth="1"/>
    <col min="1012" max="1232" width="11.42578125" style="201"/>
    <col min="1233" max="1233" width="16.7109375" style="201" customWidth="1"/>
    <col min="1234" max="1238" width="0" style="201" hidden="1" customWidth="1"/>
    <col min="1239" max="1239" width="29.7109375" style="201" customWidth="1"/>
    <col min="1240" max="1248" width="13.7109375" style="201" customWidth="1"/>
    <col min="1249" max="1249" width="14.140625" style="201" customWidth="1"/>
    <col min="1250" max="1257" width="13.7109375" style="201" customWidth="1"/>
    <col min="1258" max="1259" width="14.7109375" style="201" customWidth="1"/>
    <col min="1260" max="1262" width="13.7109375" style="201" customWidth="1"/>
    <col min="1263" max="1267" width="14.140625" style="201" customWidth="1"/>
    <col min="1268" max="1488" width="11.42578125" style="201"/>
    <col min="1489" max="1489" width="16.7109375" style="201" customWidth="1"/>
    <col min="1490" max="1494" width="0" style="201" hidden="1" customWidth="1"/>
    <col min="1495" max="1495" width="29.7109375" style="201" customWidth="1"/>
    <col min="1496" max="1504" width="13.7109375" style="201" customWidth="1"/>
    <col min="1505" max="1505" width="14.140625" style="201" customWidth="1"/>
    <col min="1506" max="1513" width="13.7109375" style="201" customWidth="1"/>
    <col min="1514" max="1515" width="14.7109375" style="201" customWidth="1"/>
    <col min="1516" max="1518" width="13.7109375" style="201" customWidth="1"/>
    <col min="1519" max="1523" width="14.140625" style="201" customWidth="1"/>
    <col min="1524" max="1744" width="11.42578125" style="201"/>
    <col min="1745" max="1745" width="16.7109375" style="201" customWidth="1"/>
    <col min="1746" max="1750" width="0" style="201" hidden="1" customWidth="1"/>
    <col min="1751" max="1751" width="29.7109375" style="201" customWidth="1"/>
    <col min="1752" max="1760" width="13.7109375" style="201" customWidth="1"/>
    <col min="1761" max="1761" width="14.140625" style="201" customWidth="1"/>
    <col min="1762" max="1769" width="13.7109375" style="201" customWidth="1"/>
    <col min="1770" max="1771" width="14.7109375" style="201" customWidth="1"/>
    <col min="1772" max="1774" width="13.7109375" style="201" customWidth="1"/>
    <col min="1775" max="1779" width="14.140625" style="201" customWidth="1"/>
    <col min="1780" max="2000" width="11.42578125" style="201"/>
    <col min="2001" max="2001" width="16.7109375" style="201" customWidth="1"/>
    <col min="2002" max="2006" width="0" style="201" hidden="1" customWidth="1"/>
    <col min="2007" max="2007" width="29.7109375" style="201" customWidth="1"/>
    <col min="2008" max="2016" width="13.7109375" style="201" customWidth="1"/>
    <col min="2017" max="2017" width="14.140625" style="201" customWidth="1"/>
    <col min="2018" max="2025" width="13.7109375" style="201" customWidth="1"/>
    <col min="2026" max="2027" width="14.7109375" style="201" customWidth="1"/>
    <col min="2028" max="2030" width="13.7109375" style="201" customWidth="1"/>
    <col min="2031" max="2035" width="14.140625" style="201" customWidth="1"/>
    <col min="2036" max="2256" width="11.42578125" style="201"/>
    <col min="2257" max="2257" width="16.7109375" style="201" customWidth="1"/>
    <col min="2258" max="2262" width="0" style="201" hidden="1" customWidth="1"/>
    <col min="2263" max="2263" width="29.7109375" style="201" customWidth="1"/>
    <col min="2264" max="2272" width="13.7109375" style="201" customWidth="1"/>
    <col min="2273" max="2273" width="14.140625" style="201" customWidth="1"/>
    <col min="2274" max="2281" width="13.7109375" style="201" customWidth="1"/>
    <col min="2282" max="2283" width="14.7109375" style="201" customWidth="1"/>
    <col min="2284" max="2286" width="13.7109375" style="201" customWidth="1"/>
    <col min="2287" max="2291" width="14.140625" style="201" customWidth="1"/>
    <col min="2292" max="2512" width="11.42578125" style="201"/>
    <col min="2513" max="2513" width="16.7109375" style="201" customWidth="1"/>
    <col min="2514" max="2518" width="0" style="201" hidden="1" customWidth="1"/>
    <col min="2519" max="2519" width="29.7109375" style="201" customWidth="1"/>
    <col min="2520" max="2528" width="13.7109375" style="201" customWidth="1"/>
    <col min="2529" max="2529" width="14.140625" style="201" customWidth="1"/>
    <col min="2530" max="2537" width="13.7109375" style="201" customWidth="1"/>
    <col min="2538" max="2539" width="14.7109375" style="201" customWidth="1"/>
    <col min="2540" max="2542" width="13.7109375" style="201" customWidth="1"/>
    <col min="2543" max="2547" width="14.140625" style="201" customWidth="1"/>
    <col min="2548" max="2768" width="11.42578125" style="201"/>
    <col min="2769" max="2769" width="16.7109375" style="201" customWidth="1"/>
    <col min="2770" max="2774" width="0" style="201" hidden="1" customWidth="1"/>
    <col min="2775" max="2775" width="29.7109375" style="201" customWidth="1"/>
    <col min="2776" max="2784" width="13.7109375" style="201" customWidth="1"/>
    <col min="2785" max="2785" width="14.140625" style="201" customWidth="1"/>
    <col min="2786" max="2793" width="13.7109375" style="201" customWidth="1"/>
    <col min="2794" max="2795" width="14.7109375" style="201" customWidth="1"/>
    <col min="2796" max="2798" width="13.7109375" style="201" customWidth="1"/>
    <col min="2799" max="2803" width="14.140625" style="201" customWidth="1"/>
    <col min="2804" max="3024" width="11.42578125" style="201"/>
    <col min="3025" max="3025" width="16.7109375" style="201" customWidth="1"/>
    <col min="3026" max="3030" width="0" style="201" hidden="1" customWidth="1"/>
    <col min="3031" max="3031" width="29.7109375" style="201" customWidth="1"/>
    <col min="3032" max="3040" width="13.7109375" style="201" customWidth="1"/>
    <col min="3041" max="3041" width="14.140625" style="201" customWidth="1"/>
    <col min="3042" max="3049" width="13.7109375" style="201" customWidth="1"/>
    <col min="3050" max="3051" width="14.7109375" style="201" customWidth="1"/>
    <col min="3052" max="3054" width="13.7109375" style="201" customWidth="1"/>
    <col min="3055" max="3059" width="14.140625" style="201" customWidth="1"/>
    <col min="3060" max="3280" width="11.42578125" style="201"/>
    <col min="3281" max="3281" width="16.7109375" style="201" customWidth="1"/>
    <col min="3282" max="3286" width="0" style="201" hidden="1" customWidth="1"/>
    <col min="3287" max="3287" width="29.7109375" style="201" customWidth="1"/>
    <col min="3288" max="3296" width="13.7109375" style="201" customWidth="1"/>
    <col min="3297" max="3297" width="14.140625" style="201" customWidth="1"/>
    <col min="3298" max="3305" width="13.7109375" style="201" customWidth="1"/>
    <col min="3306" max="3307" width="14.7109375" style="201" customWidth="1"/>
    <col min="3308" max="3310" width="13.7109375" style="201" customWidth="1"/>
    <col min="3311" max="3315" width="14.140625" style="201" customWidth="1"/>
    <col min="3316" max="3536" width="11.42578125" style="201"/>
    <col min="3537" max="3537" width="16.7109375" style="201" customWidth="1"/>
    <col min="3538" max="3542" width="0" style="201" hidden="1" customWidth="1"/>
    <col min="3543" max="3543" width="29.7109375" style="201" customWidth="1"/>
    <col min="3544" max="3552" width="13.7109375" style="201" customWidth="1"/>
    <col min="3553" max="3553" width="14.140625" style="201" customWidth="1"/>
    <col min="3554" max="3561" width="13.7109375" style="201" customWidth="1"/>
    <col min="3562" max="3563" width="14.7109375" style="201" customWidth="1"/>
    <col min="3564" max="3566" width="13.7109375" style="201" customWidth="1"/>
    <col min="3567" max="3571" width="14.140625" style="201" customWidth="1"/>
    <col min="3572" max="3792" width="11.42578125" style="201"/>
    <col min="3793" max="3793" width="16.7109375" style="201" customWidth="1"/>
    <col min="3794" max="3798" width="0" style="201" hidden="1" customWidth="1"/>
    <col min="3799" max="3799" width="29.7109375" style="201" customWidth="1"/>
    <col min="3800" max="3808" width="13.7109375" style="201" customWidth="1"/>
    <col min="3809" max="3809" width="14.140625" style="201" customWidth="1"/>
    <col min="3810" max="3817" width="13.7109375" style="201" customWidth="1"/>
    <col min="3818" max="3819" width="14.7109375" style="201" customWidth="1"/>
    <col min="3820" max="3822" width="13.7109375" style="201" customWidth="1"/>
    <col min="3823" max="3827" width="14.140625" style="201" customWidth="1"/>
    <col min="3828" max="4048" width="11.42578125" style="201"/>
    <col min="4049" max="4049" width="16.7109375" style="201" customWidth="1"/>
    <col min="4050" max="4054" width="0" style="201" hidden="1" customWidth="1"/>
    <col min="4055" max="4055" width="29.7109375" style="201" customWidth="1"/>
    <col min="4056" max="4064" width="13.7109375" style="201" customWidth="1"/>
    <col min="4065" max="4065" width="14.140625" style="201" customWidth="1"/>
    <col min="4066" max="4073" width="13.7109375" style="201" customWidth="1"/>
    <col min="4074" max="4075" width="14.7109375" style="201" customWidth="1"/>
    <col min="4076" max="4078" width="13.7109375" style="201" customWidth="1"/>
    <col min="4079" max="4083" width="14.140625" style="201" customWidth="1"/>
    <col min="4084" max="4304" width="11.42578125" style="201"/>
    <col min="4305" max="4305" width="16.7109375" style="201" customWidth="1"/>
    <col min="4306" max="4310" width="0" style="201" hidden="1" customWidth="1"/>
    <col min="4311" max="4311" width="29.7109375" style="201" customWidth="1"/>
    <col min="4312" max="4320" width="13.7109375" style="201" customWidth="1"/>
    <col min="4321" max="4321" width="14.140625" style="201" customWidth="1"/>
    <col min="4322" max="4329" width="13.7109375" style="201" customWidth="1"/>
    <col min="4330" max="4331" width="14.7109375" style="201" customWidth="1"/>
    <col min="4332" max="4334" width="13.7109375" style="201" customWidth="1"/>
    <col min="4335" max="4339" width="14.140625" style="201" customWidth="1"/>
    <col min="4340" max="4560" width="11.42578125" style="201"/>
    <col min="4561" max="4561" width="16.7109375" style="201" customWidth="1"/>
    <col min="4562" max="4566" width="0" style="201" hidden="1" customWidth="1"/>
    <col min="4567" max="4567" width="29.7109375" style="201" customWidth="1"/>
    <col min="4568" max="4576" width="13.7109375" style="201" customWidth="1"/>
    <col min="4577" max="4577" width="14.140625" style="201" customWidth="1"/>
    <col min="4578" max="4585" width="13.7109375" style="201" customWidth="1"/>
    <col min="4586" max="4587" width="14.7109375" style="201" customWidth="1"/>
    <col min="4588" max="4590" width="13.7109375" style="201" customWidth="1"/>
    <col min="4591" max="4595" width="14.140625" style="201" customWidth="1"/>
    <col min="4596" max="4816" width="11.42578125" style="201"/>
    <col min="4817" max="4817" width="16.7109375" style="201" customWidth="1"/>
    <col min="4818" max="4822" width="0" style="201" hidden="1" customWidth="1"/>
    <col min="4823" max="4823" width="29.7109375" style="201" customWidth="1"/>
    <col min="4824" max="4832" width="13.7109375" style="201" customWidth="1"/>
    <col min="4833" max="4833" width="14.140625" style="201" customWidth="1"/>
    <col min="4834" max="4841" width="13.7109375" style="201" customWidth="1"/>
    <col min="4842" max="4843" width="14.7109375" style="201" customWidth="1"/>
    <col min="4844" max="4846" width="13.7109375" style="201" customWidth="1"/>
    <col min="4847" max="4851" width="14.140625" style="201" customWidth="1"/>
    <col min="4852" max="5072" width="11.42578125" style="201"/>
    <col min="5073" max="5073" width="16.7109375" style="201" customWidth="1"/>
    <col min="5074" max="5078" width="0" style="201" hidden="1" customWidth="1"/>
    <col min="5079" max="5079" width="29.7109375" style="201" customWidth="1"/>
    <col min="5080" max="5088" width="13.7109375" style="201" customWidth="1"/>
    <col min="5089" max="5089" width="14.140625" style="201" customWidth="1"/>
    <col min="5090" max="5097" width="13.7109375" style="201" customWidth="1"/>
    <col min="5098" max="5099" width="14.7109375" style="201" customWidth="1"/>
    <col min="5100" max="5102" width="13.7109375" style="201" customWidth="1"/>
    <col min="5103" max="5107" width="14.140625" style="201" customWidth="1"/>
    <col min="5108" max="5328" width="11.42578125" style="201"/>
    <col min="5329" max="5329" width="16.7109375" style="201" customWidth="1"/>
    <col min="5330" max="5334" width="0" style="201" hidden="1" customWidth="1"/>
    <col min="5335" max="5335" width="29.7109375" style="201" customWidth="1"/>
    <col min="5336" max="5344" width="13.7109375" style="201" customWidth="1"/>
    <col min="5345" max="5345" width="14.140625" style="201" customWidth="1"/>
    <col min="5346" max="5353" width="13.7109375" style="201" customWidth="1"/>
    <col min="5354" max="5355" width="14.7109375" style="201" customWidth="1"/>
    <col min="5356" max="5358" width="13.7109375" style="201" customWidth="1"/>
    <col min="5359" max="5363" width="14.140625" style="201" customWidth="1"/>
    <col min="5364" max="5584" width="11.42578125" style="201"/>
    <col min="5585" max="5585" width="16.7109375" style="201" customWidth="1"/>
    <col min="5586" max="5590" width="0" style="201" hidden="1" customWidth="1"/>
    <col min="5591" max="5591" width="29.7109375" style="201" customWidth="1"/>
    <col min="5592" max="5600" width="13.7109375" style="201" customWidth="1"/>
    <col min="5601" max="5601" width="14.140625" style="201" customWidth="1"/>
    <col min="5602" max="5609" width="13.7109375" style="201" customWidth="1"/>
    <col min="5610" max="5611" width="14.7109375" style="201" customWidth="1"/>
    <col min="5612" max="5614" width="13.7109375" style="201" customWidth="1"/>
    <col min="5615" max="5619" width="14.140625" style="201" customWidth="1"/>
    <col min="5620" max="5840" width="11.42578125" style="201"/>
    <col min="5841" max="5841" width="16.7109375" style="201" customWidth="1"/>
    <col min="5842" max="5846" width="0" style="201" hidden="1" customWidth="1"/>
    <col min="5847" max="5847" width="29.7109375" style="201" customWidth="1"/>
    <col min="5848" max="5856" width="13.7109375" style="201" customWidth="1"/>
    <col min="5857" max="5857" width="14.140625" style="201" customWidth="1"/>
    <col min="5858" max="5865" width="13.7109375" style="201" customWidth="1"/>
    <col min="5866" max="5867" width="14.7109375" style="201" customWidth="1"/>
    <col min="5868" max="5870" width="13.7109375" style="201" customWidth="1"/>
    <col min="5871" max="5875" width="14.140625" style="201" customWidth="1"/>
    <col min="5876" max="6096" width="11.42578125" style="201"/>
    <col min="6097" max="6097" width="16.7109375" style="201" customWidth="1"/>
    <col min="6098" max="6102" width="0" style="201" hidden="1" customWidth="1"/>
    <col min="6103" max="6103" width="29.7109375" style="201" customWidth="1"/>
    <col min="6104" max="6112" width="13.7109375" style="201" customWidth="1"/>
    <col min="6113" max="6113" width="14.140625" style="201" customWidth="1"/>
    <col min="6114" max="6121" width="13.7109375" style="201" customWidth="1"/>
    <col min="6122" max="6123" width="14.7109375" style="201" customWidth="1"/>
    <col min="6124" max="6126" width="13.7109375" style="201" customWidth="1"/>
    <col min="6127" max="6131" width="14.140625" style="201" customWidth="1"/>
    <col min="6132" max="6352" width="11.42578125" style="201"/>
    <col min="6353" max="6353" width="16.7109375" style="201" customWidth="1"/>
    <col min="6354" max="6358" width="0" style="201" hidden="1" customWidth="1"/>
    <col min="6359" max="6359" width="29.7109375" style="201" customWidth="1"/>
    <col min="6360" max="6368" width="13.7109375" style="201" customWidth="1"/>
    <col min="6369" max="6369" width="14.140625" style="201" customWidth="1"/>
    <col min="6370" max="6377" width="13.7109375" style="201" customWidth="1"/>
    <col min="6378" max="6379" width="14.7109375" style="201" customWidth="1"/>
    <col min="6380" max="6382" width="13.7109375" style="201" customWidth="1"/>
    <col min="6383" max="6387" width="14.140625" style="201" customWidth="1"/>
    <col min="6388" max="6608" width="11.42578125" style="201"/>
    <col min="6609" max="6609" width="16.7109375" style="201" customWidth="1"/>
    <col min="6610" max="6614" width="0" style="201" hidden="1" customWidth="1"/>
    <col min="6615" max="6615" width="29.7109375" style="201" customWidth="1"/>
    <col min="6616" max="6624" width="13.7109375" style="201" customWidth="1"/>
    <col min="6625" max="6625" width="14.140625" style="201" customWidth="1"/>
    <col min="6626" max="6633" width="13.7109375" style="201" customWidth="1"/>
    <col min="6634" max="6635" width="14.7109375" style="201" customWidth="1"/>
    <col min="6636" max="6638" width="13.7109375" style="201" customWidth="1"/>
    <col min="6639" max="6643" width="14.140625" style="201" customWidth="1"/>
    <col min="6644" max="6864" width="11.42578125" style="201"/>
    <col min="6865" max="6865" width="16.7109375" style="201" customWidth="1"/>
    <col min="6866" max="6870" width="0" style="201" hidden="1" customWidth="1"/>
    <col min="6871" max="6871" width="29.7109375" style="201" customWidth="1"/>
    <col min="6872" max="6880" width="13.7109375" style="201" customWidth="1"/>
    <col min="6881" max="6881" width="14.140625" style="201" customWidth="1"/>
    <col min="6882" max="6889" width="13.7109375" style="201" customWidth="1"/>
    <col min="6890" max="6891" width="14.7109375" style="201" customWidth="1"/>
    <col min="6892" max="6894" width="13.7109375" style="201" customWidth="1"/>
    <col min="6895" max="6899" width="14.140625" style="201" customWidth="1"/>
    <col min="6900" max="7120" width="11.42578125" style="201"/>
    <col min="7121" max="7121" width="16.7109375" style="201" customWidth="1"/>
    <col min="7122" max="7126" width="0" style="201" hidden="1" customWidth="1"/>
    <col min="7127" max="7127" width="29.7109375" style="201" customWidth="1"/>
    <col min="7128" max="7136" width="13.7109375" style="201" customWidth="1"/>
    <col min="7137" max="7137" width="14.140625" style="201" customWidth="1"/>
    <col min="7138" max="7145" width="13.7109375" style="201" customWidth="1"/>
    <col min="7146" max="7147" width="14.7109375" style="201" customWidth="1"/>
    <col min="7148" max="7150" width="13.7109375" style="201" customWidth="1"/>
    <col min="7151" max="7155" width="14.140625" style="201" customWidth="1"/>
    <col min="7156" max="7376" width="11.42578125" style="201"/>
    <col min="7377" max="7377" width="16.7109375" style="201" customWidth="1"/>
    <col min="7378" max="7382" width="0" style="201" hidden="1" customWidth="1"/>
    <col min="7383" max="7383" width="29.7109375" style="201" customWidth="1"/>
    <col min="7384" max="7392" width="13.7109375" style="201" customWidth="1"/>
    <col min="7393" max="7393" width="14.140625" style="201" customWidth="1"/>
    <col min="7394" max="7401" width="13.7109375" style="201" customWidth="1"/>
    <col min="7402" max="7403" width="14.7109375" style="201" customWidth="1"/>
    <col min="7404" max="7406" width="13.7109375" style="201" customWidth="1"/>
    <col min="7407" max="7411" width="14.140625" style="201" customWidth="1"/>
    <col min="7412" max="7632" width="11.42578125" style="201"/>
    <col min="7633" max="7633" width="16.7109375" style="201" customWidth="1"/>
    <col min="7634" max="7638" width="0" style="201" hidden="1" customWidth="1"/>
    <col min="7639" max="7639" width="29.7109375" style="201" customWidth="1"/>
    <col min="7640" max="7648" width="13.7109375" style="201" customWidth="1"/>
    <col min="7649" max="7649" width="14.140625" style="201" customWidth="1"/>
    <col min="7650" max="7657" width="13.7109375" style="201" customWidth="1"/>
    <col min="7658" max="7659" width="14.7109375" style="201" customWidth="1"/>
    <col min="7660" max="7662" width="13.7109375" style="201" customWidth="1"/>
    <col min="7663" max="7667" width="14.140625" style="201" customWidth="1"/>
    <col min="7668" max="7888" width="11.42578125" style="201"/>
    <col min="7889" max="7889" width="16.7109375" style="201" customWidth="1"/>
    <col min="7890" max="7894" width="0" style="201" hidden="1" customWidth="1"/>
    <col min="7895" max="7895" width="29.7109375" style="201" customWidth="1"/>
    <col min="7896" max="7904" width="13.7109375" style="201" customWidth="1"/>
    <col min="7905" max="7905" width="14.140625" style="201" customWidth="1"/>
    <col min="7906" max="7913" width="13.7109375" style="201" customWidth="1"/>
    <col min="7914" max="7915" width="14.7109375" style="201" customWidth="1"/>
    <col min="7916" max="7918" width="13.7109375" style="201" customWidth="1"/>
    <col min="7919" max="7923" width="14.140625" style="201" customWidth="1"/>
    <col min="7924" max="8144" width="11.42578125" style="201"/>
    <col min="8145" max="8145" width="16.7109375" style="201" customWidth="1"/>
    <col min="8146" max="8150" width="0" style="201" hidden="1" customWidth="1"/>
    <col min="8151" max="8151" width="29.7109375" style="201" customWidth="1"/>
    <col min="8152" max="8160" width="13.7109375" style="201" customWidth="1"/>
    <col min="8161" max="8161" width="14.140625" style="201" customWidth="1"/>
    <col min="8162" max="8169" width="13.7109375" style="201" customWidth="1"/>
    <col min="8170" max="8171" width="14.7109375" style="201" customWidth="1"/>
    <col min="8172" max="8174" width="13.7109375" style="201" customWidth="1"/>
    <col min="8175" max="8179" width="14.140625" style="201" customWidth="1"/>
    <col min="8180" max="8400" width="11.42578125" style="201"/>
    <col min="8401" max="8401" width="16.7109375" style="201" customWidth="1"/>
    <col min="8402" max="8406" width="0" style="201" hidden="1" customWidth="1"/>
    <col min="8407" max="8407" width="29.7109375" style="201" customWidth="1"/>
    <col min="8408" max="8416" width="13.7109375" style="201" customWidth="1"/>
    <col min="8417" max="8417" width="14.140625" style="201" customWidth="1"/>
    <col min="8418" max="8425" width="13.7109375" style="201" customWidth="1"/>
    <col min="8426" max="8427" width="14.7109375" style="201" customWidth="1"/>
    <col min="8428" max="8430" width="13.7109375" style="201" customWidth="1"/>
    <col min="8431" max="8435" width="14.140625" style="201" customWidth="1"/>
    <col min="8436" max="8656" width="11.42578125" style="201"/>
    <col min="8657" max="8657" width="16.7109375" style="201" customWidth="1"/>
    <col min="8658" max="8662" width="0" style="201" hidden="1" customWidth="1"/>
    <col min="8663" max="8663" width="29.7109375" style="201" customWidth="1"/>
    <col min="8664" max="8672" width="13.7109375" style="201" customWidth="1"/>
    <col min="8673" max="8673" width="14.140625" style="201" customWidth="1"/>
    <col min="8674" max="8681" width="13.7109375" style="201" customWidth="1"/>
    <col min="8682" max="8683" width="14.7109375" style="201" customWidth="1"/>
    <col min="8684" max="8686" width="13.7109375" style="201" customWidth="1"/>
    <col min="8687" max="8691" width="14.140625" style="201" customWidth="1"/>
    <col min="8692" max="8912" width="11.42578125" style="201"/>
    <col min="8913" max="8913" width="16.7109375" style="201" customWidth="1"/>
    <col min="8914" max="8918" width="0" style="201" hidden="1" customWidth="1"/>
    <col min="8919" max="8919" width="29.7109375" style="201" customWidth="1"/>
    <col min="8920" max="8928" width="13.7109375" style="201" customWidth="1"/>
    <col min="8929" max="8929" width="14.140625" style="201" customWidth="1"/>
    <col min="8930" max="8937" width="13.7109375" style="201" customWidth="1"/>
    <col min="8938" max="8939" width="14.7109375" style="201" customWidth="1"/>
    <col min="8940" max="8942" width="13.7109375" style="201" customWidth="1"/>
    <col min="8943" max="8947" width="14.140625" style="201" customWidth="1"/>
    <col min="8948" max="9168" width="11.42578125" style="201"/>
    <col min="9169" max="9169" width="16.7109375" style="201" customWidth="1"/>
    <col min="9170" max="9174" width="0" style="201" hidden="1" customWidth="1"/>
    <col min="9175" max="9175" width="29.7109375" style="201" customWidth="1"/>
    <col min="9176" max="9184" width="13.7109375" style="201" customWidth="1"/>
    <col min="9185" max="9185" width="14.140625" style="201" customWidth="1"/>
    <col min="9186" max="9193" width="13.7109375" style="201" customWidth="1"/>
    <col min="9194" max="9195" width="14.7109375" style="201" customWidth="1"/>
    <col min="9196" max="9198" width="13.7109375" style="201" customWidth="1"/>
    <col min="9199" max="9203" width="14.140625" style="201" customWidth="1"/>
    <col min="9204" max="9424" width="11.42578125" style="201"/>
    <col min="9425" max="9425" width="16.7109375" style="201" customWidth="1"/>
    <col min="9426" max="9430" width="0" style="201" hidden="1" customWidth="1"/>
    <col min="9431" max="9431" width="29.7109375" style="201" customWidth="1"/>
    <col min="9432" max="9440" width="13.7109375" style="201" customWidth="1"/>
    <col min="9441" max="9441" width="14.140625" style="201" customWidth="1"/>
    <col min="9442" max="9449" width="13.7109375" style="201" customWidth="1"/>
    <col min="9450" max="9451" width="14.7109375" style="201" customWidth="1"/>
    <col min="9452" max="9454" width="13.7109375" style="201" customWidth="1"/>
    <col min="9455" max="9459" width="14.140625" style="201" customWidth="1"/>
    <col min="9460" max="9680" width="11.42578125" style="201"/>
    <col min="9681" max="9681" width="16.7109375" style="201" customWidth="1"/>
    <col min="9682" max="9686" width="0" style="201" hidden="1" customWidth="1"/>
    <col min="9687" max="9687" width="29.7109375" style="201" customWidth="1"/>
    <col min="9688" max="9696" width="13.7109375" style="201" customWidth="1"/>
    <col min="9697" max="9697" width="14.140625" style="201" customWidth="1"/>
    <col min="9698" max="9705" width="13.7109375" style="201" customWidth="1"/>
    <col min="9706" max="9707" width="14.7109375" style="201" customWidth="1"/>
    <col min="9708" max="9710" width="13.7109375" style="201" customWidth="1"/>
    <col min="9711" max="9715" width="14.140625" style="201" customWidth="1"/>
    <col min="9716" max="9936" width="11.42578125" style="201"/>
    <col min="9937" max="9937" width="16.7109375" style="201" customWidth="1"/>
    <col min="9938" max="9942" width="0" style="201" hidden="1" customWidth="1"/>
    <col min="9943" max="9943" width="29.7109375" style="201" customWidth="1"/>
    <col min="9944" max="9952" width="13.7109375" style="201" customWidth="1"/>
    <col min="9953" max="9953" width="14.140625" style="201" customWidth="1"/>
    <col min="9954" max="9961" width="13.7109375" style="201" customWidth="1"/>
    <col min="9962" max="9963" width="14.7109375" style="201" customWidth="1"/>
    <col min="9964" max="9966" width="13.7109375" style="201" customWidth="1"/>
    <col min="9967" max="9971" width="14.140625" style="201" customWidth="1"/>
    <col min="9972" max="10192" width="11.42578125" style="201"/>
    <col min="10193" max="10193" width="16.7109375" style="201" customWidth="1"/>
    <col min="10194" max="10198" width="0" style="201" hidden="1" customWidth="1"/>
    <col min="10199" max="10199" width="29.7109375" style="201" customWidth="1"/>
    <col min="10200" max="10208" width="13.7109375" style="201" customWidth="1"/>
    <col min="10209" max="10209" width="14.140625" style="201" customWidth="1"/>
    <col min="10210" max="10217" width="13.7109375" style="201" customWidth="1"/>
    <col min="10218" max="10219" width="14.7109375" style="201" customWidth="1"/>
    <col min="10220" max="10222" width="13.7109375" style="201" customWidth="1"/>
    <col min="10223" max="10227" width="14.140625" style="201" customWidth="1"/>
    <col min="10228" max="10448" width="11.42578125" style="201"/>
    <col min="10449" max="10449" width="16.7109375" style="201" customWidth="1"/>
    <col min="10450" max="10454" width="0" style="201" hidden="1" customWidth="1"/>
    <col min="10455" max="10455" width="29.7109375" style="201" customWidth="1"/>
    <col min="10456" max="10464" width="13.7109375" style="201" customWidth="1"/>
    <col min="10465" max="10465" width="14.140625" style="201" customWidth="1"/>
    <col min="10466" max="10473" width="13.7109375" style="201" customWidth="1"/>
    <col min="10474" max="10475" width="14.7109375" style="201" customWidth="1"/>
    <col min="10476" max="10478" width="13.7109375" style="201" customWidth="1"/>
    <col min="10479" max="10483" width="14.140625" style="201" customWidth="1"/>
    <col min="10484" max="10704" width="11.42578125" style="201"/>
    <col min="10705" max="10705" width="16.7109375" style="201" customWidth="1"/>
    <col min="10706" max="10710" width="0" style="201" hidden="1" customWidth="1"/>
    <col min="10711" max="10711" width="29.7109375" style="201" customWidth="1"/>
    <col min="10712" max="10720" width="13.7109375" style="201" customWidth="1"/>
    <col min="10721" max="10721" width="14.140625" style="201" customWidth="1"/>
    <col min="10722" max="10729" width="13.7109375" style="201" customWidth="1"/>
    <col min="10730" max="10731" width="14.7109375" style="201" customWidth="1"/>
    <col min="10732" max="10734" width="13.7109375" style="201" customWidth="1"/>
    <col min="10735" max="10739" width="14.140625" style="201" customWidth="1"/>
    <col min="10740" max="10960" width="11.42578125" style="201"/>
    <col min="10961" max="10961" width="16.7109375" style="201" customWidth="1"/>
    <col min="10962" max="10966" width="0" style="201" hidden="1" customWidth="1"/>
    <col min="10967" max="10967" width="29.7109375" style="201" customWidth="1"/>
    <col min="10968" max="10976" width="13.7109375" style="201" customWidth="1"/>
    <col min="10977" max="10977" width="14.140625" style="201" customWidth="1"/>
    <col min="10978" max="10985" width="13.7109375" style="201" customWidth="1"/>
    <col min="10986" max="10987" width="14.7109375" style="201" customWidth="1"/>
    <col min="10988" max="10990" width="13.7109375" style="201" customWidth="1"/>
    <col min="10991" max="10995" width="14.140625" style="201" customWidth="1"/>
    <col min="10996" max="11216" width="11.42578125" style="201"/>
    <col min="11217" max="11217" width="16.7109375" style="201" customWidth="1"/>
    <col min="11218" max="11222" width="0" style="201" hidden="1" customWidth="1"/>
    <col min="11223" max="11223" width="29.7109375" style="201" customWidth="1"/>
    <col min="11224" max="11232" width="13.7109375" style="201" customWidth="1"/>
    <col min="11233" max="11233" width="14.140625" style="201" customWidth="1"/>
    <col min="11234" max="11241" width="13.7109375" style="201" customWidth="1"/>
    <col min="11242" max="11243" width="14.7109375" style="201" customWidth="1"/>
    <col min="11244" max="11246" width="13.7109375" style="201" customWidth="1"/>
    <col min="11247" max="11251" width="14.140625" style="201" customWidth="1"/>
    <col min="11252" max="11472" width="11.42578125" style="201"/>
    <col min="11473" max="11473" width="16.7109375" style="201" customWidth="1"/>
    <col min="11474" max="11478" width="0" style="201" hidden="1" customWidth="1"/>
    <col min="11479" max="11479" width="29.7109375" style="201" customWidth="1"/>
    <col min="11480" max="11488" width="13.7109375" style="201" customWidth="1"/>
    <col min="11489" max="11489" width="14.140625" style="201" customWidth="1"/>
    <col min="11490" max="11497" width="13.7109375" style="201" customWidth="1"/>
    <col min="11498" max="11499" width="14.7109375" style="201" customWidth="1"/>
    <col min="11500" max="11502" width="13.7109375" style="201" customWidth="1"/>
    <col min="11503" max="11507" width="14.140625" style="201" customWidth="1"/>
    <col min="11508" max="11728" width="11.42578125" style="201"/>
    <col min="11729" max="11729" width="16.7109375" style="201" customWidth="1"/>
    <col min="11730" max="11734" width="0" style="201" hidden="1" customWidth="1"/>
    <col min="11735" max="11735" width="29.7109375" style="201" customWidth="1"/>
    <col min="11736" max="11744" width="13.7109375" style="201" customWidth="1"/>
    <col min="11745" max="11745" width="14.140625" style="201" customWidth="1"/>
    <col min="11746" max="11753" width="13.7109375" style="201" customWidth="1"/>
    <col min="11754" max="11755" width="14.7109375" style="201" customWidth="1"/>
    <col min="11756" max="11758" width="13.7109375" style="201" customWidth="1"/>
    <col min="11759" max="11763" width="14.140625" style="201" customWidth="1"/>
    <col min="11764" max="11984" width="11.42578125" style="201"/>
    <col min="11985" max="11985" width="16.7109375" style="201" customWidth="1"/>
    <col min="11986" max="11990" width="0" style="201" hidden="1" customWidth="1"/>
    <col min="11991" max="11991" width="29.7109375" style="201" customWidth="1"/>
    <col min="11992" max="12000" width="13.7109375" style="201" customWidth="1"/>
    <col min="12001" max="12001" width="14.140625" style="201" customWidth="1"/>
    <col min="12002" max="12009" width="13.7109375" style="201" customWidth="1"/>
    <col min="12010" max="12011" width="14.7109375" style="201" customWidth="1"/>
    <col min="12012" max="12014" width="13.7109375" style="201" customWidth="1"/>
    <col min="12015" max="12019" width="14.140625" style="201" customWidth="1"/>
    <col min="12020" max="12240" width="11.42578125" style="201"/>
    <col min="12241" max="12241" width="16.7109375" style="201" customWidth="1"/>
    <col min="12242" max="12246" width="0" style="201" hidden="1" customWidth="1"/>
    <col min="12247" max="12247" width="29.7109375" style="201" customWidth="1"/>
    <col min="12248" max="12256" width="13.7109375" style="201" customWidth="1"/>
    <col min="12257" max="12257" width="14.140625" style="201" customWidth="1"/>
    <col min="12258" max="12265" width="13.7109375" style="201" customWidth="1"/>
    <col min="12266" max="12267" width="14.7109375" style="201" customWidth="1"/>
    <col min="12268" max="12270" width="13.7109375" style="201" customWidth="1"/>
    <col min="12271" max="12275" width="14.140625" style="201" customWidth="1"/>
    <col min="12276" max="12496" width="11.42578125" style="201"/>
    <col min="12497" max="12497" width="16.7109375" style="201" customWidth="1"/>
    <col min="12498" max="12502" width="0" style="201" hidden="1" customWidth="1"/>
    <col min="12503" max="12503" width="29.7109375" style="201" customWidth="1"/>
    <col min="12504" max="12512" width="13.7109375" style="201" customWidth="1"/>
    <col min="12513" max="12513" width="14.140625" style="201" customWidth="1"/>
    <col min="12514" max="12521" width="13.7109375" style="201" customWidth="1"/>
    <col min="12522" max="12523" width="14.7109375" style="201" customWidth="1"/>
    <col min="12524" max="12526" width="13.7109375" style="201" customWidth="1"/>
    <col min="12527" max="12531" width="14.140625" style="201" customWidth="1"/>
    <col min="12532" max="12752" width="11.42578125" style="201"/>
    <col min="12753" max="12753" width="16.7109375" style="201" customWidth="1"/>
    <col min="12754" max="12758" width="0" style="201" hidden="1" customWidth="1"/>
    <col min="12759" max="12759" width="29.7109375" style="201" customWidth="1"/>
    <col min="12760" max="12768" width="13.7109375" style="201" customWidth="1"/>
    <col min="12769" max="12769" width="14.140625" style="201" customWidth="1"/>
    <col min="12770" max="12777" width="13.7109375" style="201" customWidth="1"/>
    <col min="12778" max="12779" width="14.7109375" style="201" customWidth="1"/>
    <col min="12780" max="12782" width="13.7109375" style="201" customWidth="1"/>
    <col min="12783" max="12787" width="14.140625" style="201" customWidth="1"/>
    <col min="12788" max="13008" width="11.42578125" style="201"/>
    <col min="13009" max="13009" width="16.7109375" style="201" customWidth="1"/>
    <col min="13010" max="13014" width="0" style="201" hidden="1" customWidth="1"/>
    <col min="13015" max="13015" width="29.7109375" style="201" customWidth="1"/>
    <col min="13016" max="13024" width="13.7109375" style="201" customWidth="1"/>
    <col min="13025" max="13025" width="14.140625" style="201" customWidth="1"/>
    <col min="13026" max="13033" width="13.7109375" style="201" customWidth="1"/>
    <col min="13034" max="13035" width="14.7109375" style="201" customWidth="1"/>
    <col min="13036" max="13038" width="13.7109375" style="201" customWidth="1"/>
    <col min="13039" max="13043" width="14.140625" style="201" customWidth="1"/>
    <col min="13044" max="13264" width="11.42578125" style="201"/>
    <col min="13265" max="13265" width="16.7109375" style="201" customWidth="1"/>
    <col min="13266" max="13270" width="0" style="201" hidden="1" customWidth="1"/>
    <col min="13271" max="13271" width="29.7109375" style="201" customWidth="1"/>
    <col min="13272" max="13280" width="13.7109375" style="201" customWidth="1"/>
    <col min="13281" max="13281" width="14.140625" style="201" customWidth="1"/>
    <col min="13282" max="13289" width="13.7109375" style="201" customWidth="1"/>
    <col min="13290" max="13291" width="14.7109375" style="201" customWidth="1"/>
    <col min="13292" max="13294" width="13.7109375" style="201" customWidth="1"/>
    <col min="13295" max="13299" width="14.140625" style="201" customWidth="1"/>
    <col min="13300" max="13520" width="11.42578125" style="201"/>
    <col min="13521" max="13521" width="16.7109375" style="201" customWidth="1"/>
    <col min="13522" max="13526" width="0" style="201" hidden="1" customWidth="1"/>
    <col min="13527" max="13527" width="29.7109375" style="201" customWidth="1"/>
    <col min="13528" max="13536" width="13.7109375" style="201" customWidth="1"/>
    <col min="13537" max="13537" width="14.140625" style="201" customWidth="1"/>
    <col min="13538" max="13545" width="13.7109375" style="201" customWidth="1"/>
    <col min="13546" max="13547" width="14.7109375" style="201" customWidth="1"/>
    <col min="13548" max="13550" width="13.7109375" style="201" customWidth="1"/>
    <col min="13551" max="13555" width="14.140625" style="201" customWidth="1"/>
    <col min="13556" max="13776" width="11.42578125" style="201"/>
    <col min="13777" max="13777" width="16.7109375" style="201" customWidth="1"/>
    <col min="13778" max="13782" width="0" style="201" hidden="1" customWidth="1"/>
    <col min="13783" max="13783" width="29.7109375" style="201" customWidth="1"/>
    <col min="13784" max="13792" width="13.7109375" style="201" customWidth="1"/>
    <col min="13793" max="13793" width="14.140625" style="201" customWidth="1"/>
    <col min="13794" max="13801" width="13.7109375" style="201" customWidth="1"/>
    <col min="13802" max="13803" width="14.7109375" style="201" customWidth="1"/>
    <col min="13804" max="13806" width="13.7109375" style="201" customWidth="1"/>
    <col min="13807" max="13811" width="14.140625" style="201" customWidth="1"/>
    <col min="13812" max="14032" width="11.42578125" style="201"/>
    <col min="14033" max="14033" width="16.7109375" style="201" customWidth="1"/>
    <col min="14034" max="14038" width="0" style="201" hidden="1" customWidth="1"/>
    <col min="14039" max="14039" width="29.7109375" style="201" customWidth="1"/>
    <col min="14040" max="14048" width="13.7109375" style="201" customWidth="1"/>
    <col min="14049" max="14049" width="14.140625" style="201" customWidth="1"/>
    <col min="14050" max="14057" width="13.7109375" style="201" customWidth="1"/>
    <col min="14058" max="14059" width="14.7109375" style="201" customWidth="1"/>
    <col min="14060" max="14062" width="13.7109375" style="201" customWidth="1"/>
    <col min="14063" max="14067" width="14.140625" style="201" customWidth="1"/>
    <col min="14068" max="14288" width="11.42578125" style="201"/>
    <col min="14289" max="14289" width="16.7109375" style="201" customWidth="1"/>
    <col min="14290" max="14294" width="0" style="201" hidden="1" customWidth="1"/>
    <col min="14295" max="14295" width="29.7109375" style="201" customWidth="1"/>
    <col min="14296" max="14304" width="13.7109375" style="201" customWidth="1"/>
    <col min="14305" max="14305" width="14.140625" style="201" customWidth="1"/>
    <col min="14306" max="14313" width="13.7109375" style="201" customWidth="1"/>
    <col min="14314" max="14315" width="14.7109375" style="201" customWidth="1"/>
    <col min="14316" max="14318" width="13.7109375" style="201" customWidth="1"/>
    <col min="14319" max="14323" width="14.140625" style="201" customWidth="1"/>
    <col min="14324" max="14544" width="11.42578125" style="201"/>
    <col min="14545" max="14545" width="16.7109375" style="201" customWidth="1"/>
    <col min="14546" max="14550" width="0" style="201" hidden="1" customWidth="1"/>
    <col min="14551" max="14551" width="29.7109375" style="201" customWidth="1"/>
    <col min="14552" max="14560" width="13.7109375" style="201" customWidth="1"/>
    <col min="14561" max="14561" width="14.140625" style="201" customWidth="1"/>
    <col min="14562" max="14569" width="13.7109375" style="201" customWidth="1"/>
    <col min="14570" max="14571" width="14.7109375" style="201" customWidth="1"/>
    <col min="14572" max="14574" width="13.7109375" style="201" customWidth="1"/>
    <col min="14575" max="14579" width="14.140625" style="201" customWidth="1"/>
    <col min="14580" max="14800" width="11.42578125" style="201"/>
    <col min="14801" max="14801" width="16.7109375" style="201" customWidth="1"/>
    <col min="14802" max="14806" width="0" style="201" hidden="1" customWidth="1"/>
    <col min="14807" max="14807" width="29.7109375" style="201" customWidth="1"/>
    <col min="14808" max="14816" width="13.7109375" style="201" customWidth="1"/>
    <col min="14817" max="14817" width="14.140625" style="201" customWidth="1"/>
    <col min="14818" max="14825" width="13.7109375" style="201" customWidth="1"/>
    <col min="14826" max="14827" width="14.7109375" style="201" customWidth="1"/>
    <col min="14828" max="14830" width="13.7109375" style="201" customWidth="1"/>
    <col min="14831" max="14835" width="14.140625" style="201" customWidth="1"/>
    <col min="14836" max="15056" width="11.42578125" style="201"/>
    <col min="15057" max="15057" width="16.7109375" style="201" customWidth="1"/>
    <col min="15058" max="15062" width="0" style="201" hidden="1" customWidth="1"/>
    <col min="15063" max="15063" width="29.7109375" style="201" customWidth="1"/>
    <col min="15064" max="15072" width="13.7109375" style="201" customWidth="1"/>
    <col min="15073" max="15073" width="14.140625" style="201" customWidth="1"/>
    <col min="15074" max="15081" width="13.7109375" style="201" customWidth="1"/>
    <col min="15082" max="15083" width="14.7109375" style="201" customWidth="1"/>
    <col min="15084" max="15086" width="13.7109375" style="201" customWidth="1"/>
    <col min="15087" max="15091" width="14.140625" style="201" customWidth="1"/>
    <col min="15092" max="15312" width="11.42578125" style="201"/>
    <col min="15313" max="15313" width="16.7109375" style="201" customWidth="1"/>
    <col min="15314" max="15318" width="0" style="201" hidden="1" customWidth="1"/>
    <col min="15319" max="15319" width="29.7109375" style="201" customWidth="1"/>
    <col min="15320" max="15328" width="13.7109375" style="201" customWidth="1"/>
    <col min="15329" max="15329" width="14.140625" style="201" customWidth="1"/>
    <col min="15330" max="15337" width="13.7109375" style="201" customWidth="1"/>
    <col min="15338" max="15339" width="14.7109375" style="201" customWidth="1"/>
    <col min="15340" max="15342" width="13.7109375" style="201" customWidth="1"/>
    <col min="15343" max="15347" width="14.140625" style="201" customWidth="1"/>
    <col min="15348" max="15568" width="11.42578125" style="201"/>
    <col min="15569" max="15569" width="16.7109375" style="201" customWidth="1"/>
    <col min="15570" max="15574" width="0" style="201" hidden="1" customWidth="1"/>
    <col min="15575" max="15575" width="29.7109375" style="201" customWidth="1"/>
    <col min="15576" max="15584" width="13.7109375" style="201" customWidth="1"/>
    <col min="15585" max="15585" width="14.140625" style="201" customWidth="1"/>
    <col min="15586" max="15593" width="13.7109375" style="201" customWidth="1"/>
    <col min="15594" max="15595" width="14.7109375" style="201" customWidth="1"/>
    <col min="15596" max="15598" width="13.7109375" style="201" customWidth="1"/>
    <col min="15599" max="15603" width="14.140625" style="201" customWidth="1"/>
    <col min="15604" max="15824" width="11.42578125" style="201"/>
    <col min="15825" max="15825" width="16.7109375" style="201" customWidth="1"/>
    <col min="15826" max="15830" width="0" style="201" hidden="1" customWidth="1"/>
    <col min="15831" max="15831" width="29.7109375" style="201" customWidth="1"/>
    <col min="15832" max="15840" width="13.7109375" style="201" customWidth="1"/>
    <col min="15841" max="15841" width="14.140625" style="201" customWidth="1"/>
    <col min="15842" max="15849" width="13.7109375" style="201" customWidth="1"/>
    <col min="15850" max="15851" width="14.7109375" style="201" customWidth="1"/>
    <col min="15852" max="15854" width="13.7109375" style="201" customWidth="1"/>
    <col min="15855" max="15859" width="14.140625" style="201" customWidth="1"/>
    <col min="15860" max="16080" width="11.42578125" style="201"/>
    <col min="16081" max="16081" width="16.7109375" style="201" customWidth="1"/>
    <col min="16082" max="16086" width="0" style="201" hidden="1" customWidth="1"/>
    <col min="16087" max="16087" width="29.7109375" style="201" customWidth="1"/>
    <col min="16088" max="16096" width="13.7109375" style="201" customWidth="1"/>
    <col min="16097" max="16097" width="14.140625" style="201" customWidth="1"/>
    <col min="16098" max="16105" width="13.7109375" style="201" customWidth="1"/>
    <col min="16106" max="16107" width="14.7109375" style="201" customWidth="1"/>
    <col min="16108" max="16110" width="13.7109375" style="201" customWidth="1"/>
    <col min="16111" max="16115" width="14.140625" style="201" customWidth="1"/>
    <col min="16116" max="16384" width="11.42578125" style="201"/>
  </cols>
  <sheetData>
    <row r="1" spans="1:26" x14ac:dyDescent="0.2">
      <c r="A1" s="202" t="s">
        <v>494</v>
      </c>
      <c r="B1" s="201"/>
    </row>
    <row r="2" spans="1:26" x14ac:dyDescent="0.2">
      <c r="C2" s="201"/>
      <c r="D2" s="201"/>
    </row>
    <row r="3" spans="1:26" s="51" customFormat="1" x14ac:dyDescent="0.2">
      <c r="A3" s="295"/>
      <c r="B3" s="296" t="s">
        <v>398</v>
      </c>
      <c r="C3" s="303" t="s">
        <v>11</v>
      </c>
      <c r="D3" s="297">
        <v>160</v>
      </c>
      <c r="E3" s="303" t="s">
        <v>1</v>
      </c>
      <c r="F3" s="297">
        <v>900</v>
      </c>
      <c r="G3" s="303" t="s">
        <v>97</v>
      </c>
      <c r="H3" s="297">
        <v>300</v>
      </c>
      <c r="I3" s="303" t="s">
        <v>98</v>
      </c>
      <c r="J3" s="297">
        <v>3600</v>
      </c>
      <c r="K3" s="303" t="s">
        <v>99</v>
      </c>
      <c r="L3" s="297">
        <v>2400</v>
      </c>
      <c r="M3" s="303" t="s">
        <v>100</v>
      </c>
      <c r="N3" s="297">
        <v>3600</v>
      </c>
      <c r="O3" s="303" t="s">
        <v>101</v>
      </c>
      <c r="P3" s="297">
        <v>3600</v>
      </c>
      <c r="Q3" s="303" t="s">
        <v>102</v>
      </c>
      <c r="R3" s="297">
        <v>2400</v>
      </c>
      <c r="S3" s="303" t="s">
        <v>103</v>
      </c>
      <c r="T3" s="297">
        <v>2400</v>
      </c>
      <c r="U3" s="303" t="s">
        <v>104</v>
      </c>
      <c r="V3" s="297">
        <v>3200</v>
      </c>
      <c r="W3" s="303" t="s">
        <v>105</v>
      </c>
      <c r="X3" s="297">
        <v>3600</v>
      </c>
      <c r="Y3" s="303" t="s">
        <v>106</v>
      </c>
      <c r="Z3" s="297">
        <v>2400</v>
      </c>
    </row>
    <row r="4" spans="1:26" s="310" customFormat="1" ht="25.9" customHeight="1" x14ac:dyDescent="0.25">
      <c r="A4" s="306"/>
      <c r="B4" s="307" t="s">
        <v>369</v>
      </c>
      <c r="C4" s="308" t="s">
        <v>370</v>
      </c>
      <c r="D4" s="309" t="s">
        <v>371</v>
      </c>
      <c r="E4" s="308" t="s">
        <v>370</v>
      </c>
      <c r="F4" s="309" t="s">
        <v>371</v>
      </c>
      <c r="G4" s="308" t="s">
        <v>370</v>
      </c>
      <c r="H4" s="309" t="s">
        <v>371</v>
      </c>
      <c r="I4" s="308" t="s">
        <v>370</v>
      </c>
      <c r="J4" s="309" t="s">
        <v>371</v>
      </c>
      <c r="K4" s="308" t="s">
        <v>370</v>
      </c>
      <c r="L4" s="309" t="s">
        <v>371</v>
      </c>
      <c r="M4" s="308" t="s">
        <v>370</v>
      </c>
      <c r="N4" s="309" t="s">
        <v>371</v>
      </c>
      <c r="O4" s="308" t="s">
        <v>370</v>
      </c>
      <c r="P4" s="309" t="s">
        <v>371</v>
      </c>
      <c r="Q4" s="308" t="s">
        <v>370</v>
      </c>
      <c r="R4" s="309" t="s">
        <v>371</v>
      </c>
      <c r="S4" s="308" t="s">
        <v>370</v>
      </c>
      <c r="T4" s="309" t="s">
        <v>371</v>
      </c>
      <c r="U4" s="308" t="s">
        <v>370</v>
      </c>
      <c r="V4" s="309" t="s">
        <v>371</v>
      </c>
      <c r="W4" s="308" t="s">
        <v>370</v>
      </c>
      <c r="X4" s="309" t="s">
        <v>371</v>
      </c>
      <c r="Y4" s="308" t="s">
        <v>370</v>
      </c>
      <c r="Z4" s="309" t="s">
        <v>371</v>
      </c>
    </row>
    <row r="5" spans="1:26" s="271" customFormat="1" x14ac:dyDescent="0.2">
      <c r="A5" s="698" t="s">
        <v>492</v>
      </c>
      <c r="B5" s="195" t="s">
        <v>489</v>
      </c>
      <c r="C5" s="281" t="s">
        <v>372</v>
      </c>
      <c r="D5" s="282" t="s">
        <v>397</v>
      </c>
      <c r="E5" s="281" t="s">
        <v>372</v>
      </c>
      <c r="F5" s="282" t="s">
        <v>397</v>
      </c>
      <c r="G5" s="281" t="s">
        <v>372</v>
      </c>
      <c r="H5" s="282" t="s">
        <v>397</v>
      </c>
      <c r="I5" s="281" t="s">
        <v>372</v>
      </c>
      <c r="J5" s="282" t="s">
        <v>397</v>
      </c>
      <c r="K5" s="281" t="s">
        <v>372</v>
      </c>
      <c r="L5" s="282" t="s">
        <v>397</v>
      </c>
      <c r="M5" s="281" t="s">
        <v>372</v>
      </c>
      <c r="N5" s="282" t="s">
        <v>397</v>
      </c>
      <c r="O5" s="281" t="s">
        <v>372</v>
      </c>
      <c r="P5" s="282" t="s">
        <v>397</v>
      </c>
      <c r="Q5" s="281" t="s">
        <v>372</v>
      </c>
      <c r="R5" s="282" t="s">
        <v>397</v>
      </c>
      <c r="S5" s="281" t="s">
        <v>372</v>
      </c>
      <c r="T5" s="282" t="s">
        <v>397</v>
      </c>
      <c r="U5" s="281" t="s">
        <v>372</v>
      </c>
      <c r="V5" s="282" t="s">
        <v>397</v>
      </c>
      <c r="W5" s="281" t="s">
        <v>372</v>
      </c>
      <c r="X5" s="282" t="s">
        <v>397</v>
      </c>
      <c r="Y5" s="281" t="s">
        <v>372</v>
      </c>
      <c r="Z5" s="282" t="s">
        <v>397</v>
      </c>
    </row>
    <row r="6" spans="1:26" x14ac:dyDescent="0.2">
      <c r="A6" s="699"/>
      <c r="B6" s="205" t="s">
        <v>373</v>
      </c>
      <c r="C6" s="230">
        <v>30686</v>
      </c>
      <c r="D6" s="231">
        <v>191.8</v>
      </c>
      <c r="E6" s="230">
        <v>155617</v>
      </c>
      <c r="F6" s="231">
        <v>172.9</v>
      </c>
      <c r="G6" s="230">
        <v>49813</v>
      </c>
      <c r="H6" s="231">
        <v>166</v>
      </c>
      <c r="I6" s="230">
        <v>362012</v>
      </c>
      <c r="J6" s="231">
        <v>100.6</v>
      </c>
      <c r="K6" s="230">
        <v>295850</v>
      </c>
      <c r="L6" s="231">
        <v>123.3</v>
      </c>
      <c r="M6" s="230">
        <v>391948</v>
      </c>
      <c r="N6" s="231">
        <v>108.9</v>
      </c>
      <c r="O6" s="230">
        <v>569852</v>
      </c>
      <c r="P6" s="231">
        <v>158.30000000000001</v>
      </c>
      <c r="Q6" s="230">
        <v>276116</v>
      </c>
      <c r="R6" s="231">
        <v>115</v>
      </c>
      <c r="S6" s="230">
        <v>367337</v>
      </c>
      <c r="T6" s="231">
        <v>153.1</v>
      </c>
      <c r="U6" s="230">
        <v>684298</v>
      </c>
      <c r="V6" s="231">
        <v>213.8</v>
      </c>
      <c r="W6" s="230">
        <v>455449</v>
      </c>
      <c r="X6" s="231">
        <v>126.5</v>
      </c>
      <c r="Y6" s="230">
        <v>382328</v>
      </c>
      <c r="Z6" s="273">
        <v>159.30000000000001</v>
      </c>
    </row>
    <row r="7" spans="1:26" x14ac:dyDescent="0.2">
      <c r="A7" s="699"/>
      <c r="B7" s="205" t="s">
        <v>374</v>
      </c>
      <c r="C7" s="230">
        <v>0</v>
      </c>
      <c r="D7" s="231">
        <v>0</v>
      </c>
      <c r="E7" s="230">
        <v>0</v>
      </c>
      <c r="F7" s="231">
        <v>0</v>
      </c>
      <c r="G7" s="230">
        <v>8781</v>
      </c>
      <c r="H7" s="231">
        <v>29.3</v>
      </c>
      <c r="I7" s="230">
        <v>105048</v>
      </c>
      <c r="J7" s="231">
        <v>29.2</v>
      </c>
      <c r="K7" s="230">
        <v>88155</v>
      </c>
      <c r="L7" s="231">
        <v>36.700000000000003</v>
      </c>
      <c r="M7" s="230">
        <v>136955</v>
      </c>
      <c r="N7" s="231">
        <v>38</v>
      </c>
      <c r="O7" s="230">
        <v>343404</v>
      </c>
      <c r="P7" s="231">
        <v>95.4</v>
      </c>
      <c r="Q7" s="230">
        <v>206891</v>
      </c>
      <c r="R7" s="231">
        <v>86.2</v>
      </c>
      <c r="S7" s="230">
        <v>130092</v>
      </c>
      <c r="T7" s="231">
        <v>54.2</v>
      </c>
      <c r="U7" s="230">
        <v>137988</v>
      </c>
      <c r="V7" s="231">
        <v>43.1</v>
      </c>
      <c r="W7" s="230">
        <v>239810</v>
      </c>
      <c r="X7" s="231">
        <v>66.599999999999994</v>
      </c>
      <c r="Y7" s="230">
        <v>73885</v>
      </c>
      <c r="Z7" s="273">
        <v>30.8</v>
      </c>
    </row>
    <row r="8" spans="1:26" x14ac:dyDescent="0.2">
      <c r="A8" s="699"/>
      <c r="B8" s="205" t="s">
        <v>375</v>
      </c>
      <c r="C8" s="230">
        <v>4765</v>
      </c>
      <c r="D8" s="231">
        <v>29.8</v>
      </c>
      <c r="E8" s="230">
        <v>26792</v>
      </c>
      <c r="F8" s="231">
        <v>29.8</v>
      </c>
      <c r="G8" s="230">
        <v>3007</v>
      </c>
      <c r="H8" s="231">
        <v>10</v>
      </c>
      <c r="I8" s="230">
        <v>18040</v>
      </c>
      <c r="J8" s="231">
        <v>5</v>
      </c>
      <c r="K8" s="230">
        <v>23530</v>
      </c>
      <c r="L8" s="231">
        <v>9.8000000000000007</v>
      </c>
      <c r="M8" s="230">
        <v>18040</v>
      </c>
      <c r="N8" s="231">
        <v>5</v>
      </c>
      <c r="O8" s="230">
        <v>107170</v>
      </c>
      <c r="P8" s="231">
        <v>29.8</v>
      </c>
      <c r="Q8" s="230">
        <v>71482</v>
      </c>
      <c r="R8" s="231">
        <v>29.8</v>
      </c>
      <c r="S8" s="230">
        <v>71482</v>
      </c>
      <c r="T8" s="231">
        <v>29.8</v>
      </c>
      <c r="U8" s="230">
        <v>156864</v>
      </c>
      <c r="V8" s="231">
        <v>49</v>
      </c>
      <c r="W8" s="230">
        <v>36408</v>
      </c>
      <c r="X8" s="231">
        <v>10.1</v>
      </c>
      <c r="Y8" s="230">
        <v>24054</v>
      </c>
      <c r="Z8" s="273">
        <v>10</v>
      </c>
    </row>
    <row r="9" spans="1:26" x14ac:dyDescent="0.2">
      <c r="A9" s="699"/>
      <c r="B9" s="205" t="s">
        <v>376</v>
      </c>
      <c r="C9" s="230">
        <v>0</v>
      </c>
      <c r="D9" s="231">
        <v>0</v>
      </c>
      <c r="E9" s="230">
        <v>0</v>
      </c>
      <c r="F9" s="231">
        <v>0</v>
      </c>
      <c r="G9" s="230">
        <v>10505</v>
      </c>
      <c r="H9" s="231">
        <v>35</v>
      </c>
      <c r="I9" s="230">
        <v>123343</v>
      </c>
      <c r="J9" s="231">
        <v>34.299999999999997</v>
      </c>
      <c r="K9" s="230">
        <v>92310</v>
      </c>
      <c r="L9" s="231">
        <v>38.5</v>
      </c>
      <c r="M9" s="230">
        <v>160332</v>
      </c>
      <c r="N9" s="231">
        <v>44.5</v>
      </c>
      <c r="O9" s="230">
        <v>369461</v>
      </c>
      <c r="P9" s="231">
        <v>102.6</v>
      </c>
      <c r="Q9" s="230">
        <v>216212</v>
      </c>
      <c r="R9" s="231">
        <v>90.1</v>
      </c>
      <c r="S9" s="230">
        <v>149037</v>
      </c>
      <c r="T9" s="231">
        <v>62.1</v>
      </c>
      <c r="U9" s="230">
        <v>108368</v>
      </c>
      <c r="V9" s="231">
        <v>33.9</v>
      </c>
      <c r="W9" s="230">
        <v>294892</v>
      </c>
      <c r="X9" s="231">
        <v>81.900000000000006</v>
      </c>
      <c r="Y9" s="230">
        <v>91350</v>
      </c>
      <c r="Z9" s="273">
        <v>38.1</v>
      </c>
    </row>
    <row r="10" spans="1:26" x14ac:dyDescent="0.2">
      <c r="A10" s="699"/>
      <c r="B10" s="205" t="s">
        <v>377</v>
      </c>
      <c r="C10" s="230">
        <v>193</v>
      </c>
      <c r="D10" s="231">
        <v>1.2</v>
      </c>
      <c r="E10" s="230">
        <v>966</v>
      </c>
      <c r="F10" s="231">
        <v>1.1000000000000001</v>
      </c>
      <c r="G10" s="230">
        <v>531</v>
      </c>
      <c r="H10" s="231">
        <v>1.8</v>
      </c>
      <c r="I10" s="230">
        <v>11372</v>
      </c>
      <c r="J10" s="231">
        <v>3.2</v>
      </c>
      <c r="K10" s="230">
        <v>4423</v>
      </c>
      <c r="L10" s="231">
        <v>1.8</v>
      </c>
      <c r="M10" s="230">
        <v>13046</v>
      </c>
      <c r="N10" s="231">
        <v>3.6</v>
      </c>
      <c r="O10" s="230">
        <v>16153</v>
      </c>
      <c r="P10" s="231">
        <v>4.5</v>
      </c>
      <c r="Q10" s="230">
        <v>3675</v>
      </c>
      <c r="R10" s="231">
        <v>1.5</v>
      </c>
      <c r="S10" s="230">
        <v>13164</v>
      </c>
      <c r="T10" s="231">
        <v>5.5</v>
      </c>
      <c r="U10" s="230">
        <v>6628</v>
      </c>
      <c r="V10" s="231">
        <v>2.1</v>
      </c>
      <c r="W10" s="230">
        <v>17863</v>
      </c>
      <c r="X10" s="231">
        <v>5</v>
      </c>
      <c r="Y10" s="230">
        <v>8409</v>
      </c>
      <c r="Z10" s="273">
        <v>3.5</v>
      </c>
    </row>
    <row r="11" spans="1:26" x14ac:dyDescent="0.2">
      <c r="A11" s="699"/>
      <c r="B11" s="205" t="s">
        <v>378</v>
      </c>
      <c r="C11" s="230">
        <v>1993</v>
      </c>
      <c r="D11" s="231">
        <v>12.5</v>
      </c>
      <c r="E11" s="230">
        <v>11214</v>
      </c>
      <c r="F11" s="231">
        <v>12.5</v>
      </c>
      <c r="G11" s="230">
        <v>10805</v>
      </c>
      <c r="H11" s="231">
        <v>36</v>
      </c>
      <c r="I11" s="230">
        <v>152215</v>
      </c>
      <c r="J11" s="231">
        <v>42.3</v>
      </c>
      <c r="K11" s="230">
        <v>89010</v>
      </c>
      <c r="L11" s="231">
        <v>37.1</v>
      </c>
      <c r="M11" s="230">
        <v>152215</v>
      </c>
      <c r="N11" s="231">
        <v>42.3</v>
      </c>
      <c r="O11" s="230">
        <v>275951</v>
      </c>
      <c r="P11" s="231">
        <v>76.7</v>
      </c>
      <c r="Q11" s="230">
        <v>183960</v>
      </c>
      <c r="R11" s="231">
        <v>76.7</v>
      </c>
      <c r="S11" s="230">
        <v>183960</v>
      </c>
      <c r="T11" s="231">
        <v>76.7</v>
      </c>
      <c r="U11" s="230">
        <v>111456</v>
      </c>
      <c r="V11" s="231">
        <v>34.799999999999997</v>
      </c>
      <c r="W11" s="230">
        <v>341223</v>
      </c>
      <c r="X11" s="231">
        <v>94.8</v>
      </c>
      <c r="Y11" s="230">
        <v>93960</v>
      </c>
      <c r="Z11" s="273">
        <v>39.1</v>
      </c>
    </row>
    <row r="12" spans="1:26" x14ac:dyDescent="0.2">
      <c r="A12" s="699"/>
      <c r="B12" s="205" t="s">
        <v>379</v>
      </c>
      <c r="C12" s="230">
        <v>3066</v>
      </c>
      <c r="D12" s="231">
        <v>19.2</v>
      </c>
      <c r="E12" s="230">
        <v>17247</v>
      </c>
      <c r="F12" s="231">
        <v>19.2</v>
      </c>
      <c r="G12" s="230">
        <v>1801</v>
      </c>
      <c r="H12" s="231">
        <v>6</v>
      </c>
      <c r="I12" s="230">
        <v>139560</v>
      </c>
      <c r="J12" s="231">
        <v>38.799999999999997</v>
      </c>
      <c r="K12" s="230">
        <v>35604</v>
      </c>
      <c r="L12" s="231">
        <v>14.8</v>
      </c>
      <c r="M12" s="230">
        <v>139560</v>
      </c>
      <c r="N12" s="231">
        <v>38.799999999999997</v>
      </c>
      <c r="O12" s="230">
        <v>183960</v>
      </c>
      <c r="P12" s="231">
        <v>51.1</v>
      </c>
      <c r="Q12" s="230">
        <v>61320</v>
      </c>
      <c r="R12" s="231">
        <v>25.6</v>
      </c>
      <c r="S12" s="230">
        <v>15330</v>
      </c>
      <c r="T12" s="231">
        <v>6.4</v>
      </c>
      <c r="U12" s="230">
        <v>9288</v>
      </c>
      <c r="V12" s="231">
        <v>2.9</v>
      </c>
      <c r="W12" s="230">
        <v>15163</v>
      </c>
      <c r="X12" s="231">
        <v>4.2</v>
      </c>
      <c r="Y12" s="230">
        <v>7830</v>
      </c>
      <c r="Z12" s="273">
        <v>3.3</v>
      </c>
    </row>
    <row r="13" spans="1:26" x14ac:dyDescent="0.2">
      <c r="A13" s="699"/>
      <c r="B13" s="205" t="s">
        <v>380</v>
      </c>
      <c r="C13" s="230">
        <v>0</v>
      </c>
      <c r="D13" s="231">
        <v>0</v>
      </c>
      <c r="E13" s="235">
        <v>0</v>
      </c>
      <c r="F13" s="231">
        <v>0</v>
      </c>
      <c r="G13" s="230">
        <v>0</v>
      </c>
      <c r="H13" s="231">
        <v>0</v>
      </c>
      <c r="I13" s="230">
        <v>0</v>
      </c>
      <c r="J13" s="231">
        <v>0</v>
      </c>
      <c r="K13" s="230">
        <v>0</v>
      </c>
      <c r="L13" s="231">
        <v>0</v>
      </c>
      <c r="M13" s="230">
        <v>0</v>
      </c>
      <c r="N13" s="231">
        <v>0</v>
      </c>
      <c r="O13" s="230">
        <v>0</v>
      </c>
      <c r="P13" s="231">
        <v>0</v>
      </c>
      <c r="Q13" s="230">
        <v>0</v>
      </c>
      <c r="R13" s="231">
        <v>0</v>
      </c>
      <c r="S13" s="230">
        <v>0</v>
      </c>
      <c r="T13" s="231">
        <v>0</v>
      </c>
      <c r="U13" s="230">
        <v>0</v>
      </c>
      <c r="V13" s="231">
        <v>0</v>
      </c>
      <c r="W13" s="230">
        <v>0</v>
      </c>
      <c r="X13" s="231">
        <v>0</v>
      </c>
      <c r="Y13" s="230">
        <v>0</v>
      </c>
      <c r="Z13" s="273">
        <v>0</v>
      </c>
    </row>
    <row r="14" spans="1:26" x14ac:dyDescent="0.2">
      <c r="A14" s="699"/>
      <c r="B14" s="205" t="s">
        <v>381</v>
      </c>
      <c r="C14" s="230">
        <v>0</v>
      </c>
      <c r="D14" s="231">
        <v>0</v>
      </c>
      <c r="E14" s="235">
        <v>0</v>
      </c>
      <c r="F14" s="231">
        <v>0</v>
      </c>
      <c r="G14" s="230">
        <v>0</v>
      </c>
      <c r="H14" s="231">
        <v>0</v>
      </c>
      <c r="I14" s="230">
        <v>73966</v>
      </c>
      <c r="J14" s="231">
        <v>20.5</v>
      </c>
      <c r="K14" s="230">
        <v>0</v>
      </c>
      <c r="L14" s="231">
        <v>0</v>
      </c>
      <c r="M14" s="230">
        <v>94347</v>
      </c>
      <c r="N14" s="231">
        <v>26.2</v>
      </c>
      <c r="O14" s="230">
        <v>188740</v>
      </c>
      <c r="P14" s="231">
        <v>52.4</v>
      </c>
      <c r="Q14" s="230">
        <v>0</v>
      </c>
      <c r="R14" s="231">
        <v>0</v>
      </c>
      <c r="S14" s="230">
        <v>85693</v>
      </c>
      <c r="T14" s="231">
        <v>35.700000000000003</v>
      </c>
      <c r="U14" s="230">
        <v>0</v>
      </c>
      <c r="V14" s="231">
        <v>0</v>
      </c>
      <c r="W14" s="230">
        <v>189046</v>
      </c>
      <c r="X14" s="231">
        <v>52.5</v>
      </c>
      <c r="Y14" s="230">
        <v>61993</v>
      </c>
      <c r="Z14" s="273">
        <v>25.8</v>
      </c>
    </row>
    <row r="15" spans="1:26" s="20" customFormat="1" x14ac:dyDescent="0.2">
      <c r="A15" s="700"/>
      <c r="B15" s="284" t="s">
        <v>382</v>
      </c>
      <c r="C15" s="275">
        <v>40703</v>
      </c>
      <c r="D15" s="276">
        <v>254.4</v>
      </c>
      <c r="E15" s="277">
        <v>211837</v>
      </c>
      <c r="F15" s="278">
        <v>235.4</v>
      </c>
      <c r="G15" s="275">
        <v>85243</v>
      </c>
      <c r="H15" s="276">
        <v>284.10000000000002</v>
      </c>
      <c r="I15" s="275">
        <v>985556</v>
      </c>
      <c r="J15" s="276">
        <v>273.8</v>
      </c>
      <c r="K15" s="275">
        <v>628883</v>
      </c>
      <c r="L15" s="276">
        <v>262</v>
      </c>
      <c r="M15" s="275">
        <v>1106443</v>
      </c>
      <c r="N15" s="276">
        <v>307.3</v>
      </c>
      <c r="O15" s="275">
        <v>2054691</v>
      </c>
      <c r="P15" s="276">
        <v>570.70000000000005</v>
      </c>
      <c r="Q15" s="275">
        <v>1019656</v>
      </c>
      <c r="R15" s="276">
        <v>424.9</v>
      </c>
      <c r="S15" s="275">
        <v>1016095</v>
      </c>
      <c r="T15" s="276">
        <v>423.4</v>
      </c>
      <c r="U15" s="275">
        <v>1214891</v>
      </c>
      <c r="V15" s="276">
        <v>379.7</v>
      </c>
      <c r="W15" s="275">
        <v>1589855</v>
      </c>
      <c r="X15" s="276">
        <v>441.6</v>
      </c>
      <c r="Y15" s="275">
        <v>743808</v>
      </c>
      <c r="Z15" s="279">
        <v>309.89999999999998</v>
      </c>
    </row>
    <row r="16" spans="1:26" s="20" customFormat="1" x14ac:dyDescent="0.2">
      <c r="A16" s="266"/>
      <c r="B16" s="227"/>
      <c r="C16" s="267"/>
      <c r="D16" s="232"/>
      <c r="E16" s="268"/>
      <c r="F16" s="237"/>
      <c r="G16" s="267"/>
      <c r="H16" s="232"/>
      <c r="I16" s="267"/>
      <c r="J16" s="232"/>
      <c r="K16" s="267"/>
      <c r="L16" s="232"/>
      <c r="M16" s="267"/>
      <c r="N16" s="232"/>
      <c r="O16" s="267"/>
      <c r="P16" s="232"/>
      <c r="Q16" s="267"/>
      <c r="R16" s="232"/>
      <c r="S16" s="267"/>
      <c r="T16" s="232"/>
      <c r="U16" s="267"/>
      <c r="V16" s="232"/>
      <c r="W16" s="267"/>
      <c r="X16" s="232"/>
      <c r="Y16" s="267"/>
      <c r="Z16" s="232"/>
    </row>
    <row r="17" spans="1:26" s="202" customFormat="1" x14ac:dyDescent="0.2">
      <c r="A17" s="698" t="s">
        <v>493</v>
      </c>
      <c r="B17" s="269" t="s">
        <v>488</v>
      </c>
      <c r="C17" s="304" t="s">
        <v>486</v>
      </c>
      <c r="D17" s="280" t="s">
        <v>487</v>
      </c>
      <c r="E17" s="304" t="s">
        <v>486</v>
      </c>
      <c r="F17" s="280" t="s">
        <v>487</v>
      </c>
      <c r="G17" s="304" t="s">
        <v>486</v>
      </c>
      <c r="H17" s="280" t="s">
        <v>487</v>
      </c>
      <c r="I17" s="304" t="s">
        <v>486</v>
      </c>
      <c r="J17" s="280" t="s">
        <v>487</v>
      </c>
      <c r="K17" s="304" t="s">
        <v>486</v>
      </c>
      <c r="L17" s="280" t="s">
        <v>487</v>
      </c>
      <c r="M17" s="304" t="s">
        <v>486</v>
      </c>
      <c r="N17" s="280" t="s">
        <v>487</v>
      </c>
      <c r="O17" s="304" t="s">
        <v>486</v>
      </c>
      <c r="P17" s="280" t="s">
        <v>487</v>
      </c>
      <c r="Q17" s="304" t="s">
        <v>486</v>
      </c>
      <c r="R17" s="280" t="s">
        <v>487</v>
      </c>
      <c r="S17" s="304" t="s">
        <v>486</v>
      </c>
      <c r="T17" s="280" t="s">
        <v>487</v>
      </c>
      <c r="U17" s="304" t="s">
        <v>486</v>
      </c>
      <c r="V17" s="280" t="s">
        <v>487</v>
      </c>
      <c r="W17" s="304" t="s">
        <v>486</v>
      </c>
      <c r="X17" s="280" t="s">
        <v>487</v>
      </c>
      <c r="Y17" s="304" t="s">
        <v>486</v>
      </c>
      <c r="Z17" s="280" t="s">
        <v>487</v>
      </c>
    </row>
    <row r="18" spans="1:26" x14ac:dyDescent="0.2">
      <c r="A18" s="699"/>
      <c r="B18" s="144" t="s">
        <v>252</v>
      </c>
      <c r="C18" s="305">
        <f>'6 Oversikt startpunkt'!B43</f>
        <v>0.4</v>
      </c>
      <c r="D18" s="270">
        <f>'7 Passivhusnivå'!C27</f>
        <v>0.1</v>
      </c>
      <c r="E18" s="305">
        <f>'6 Oversikt startpunkt'!C43</f>
        <v>0.7</v>
      </c>
      <c r="F18" s="270">
        <f>'7 Passivhusnivå'!D27</f>
        <v>0.14000000000000001</v>
      </c>
      <c r="G18" s="305">
        <f>'6 Oversikt startpunkt'!D43</f>
        <v>0.4</v>
      </c>
      <c r="H18" s="270">
        <f>'7 Passivhusnivå'!F27</f>
        <v>0.14000000000000001</v>
      </c>
      <c r="I18" s="305">
        <f>'6 Oversikt startpunkt'!E43</f>
        <v>0.7</v>
      </c>
      <c r="J18" s="270">
        <f>'7 Passivhusnivå'!G27</f>
        <v>0.16</v>
      </c>
      <c r="K18" s="305">
        <f>'6 Oversikt startpunkt'!F43</f>
        <v>0.7</v>
      </c>
      <c r="L18" s="270">
        <f>'7 Passivhusnivå'!H27</f>
        <v>0.16</v>
      </c>
      <c r="M18" s="305">
        <f>'6 Oversikt startpunkt'!G43</f>
        <v>0.7</v>
      </c>
      <c r="N18" s="270">
        <f>'7 Passivhusnivå'!I27</f>
        <v>0.16</v>
      </c>
      <c r="O18" s="305">
        <f>'6 Oversikt startpunkt'!H43</f>
        <v>0.7</v>
      </c>
      <c r="P18" s="270">
        <f>'7 Passivhusnivå'!J27</f>
        <v>0.16</v>
      </c>
      <c r="Q18" s="305">
        <f>'6 Oversikt startpunkt'!I43</f>
        <v>0.4</v>
      </c>
      <c r="R18" s="270">
        <f>'7 Passivhusnivå'!K27</f>
        <v>0.16</v>
      </c>
      <c r="S18" s="305">
        <f>'6 Oversikt startpunkt'!J43</f>
        <v>0.7</v>
      </c>
      <c r="T18" s="270">
        <f>'7 Passivhusnivå'!L27</f>
        <v>0.14000000000000001</v>
      </c>
      <c r="U18" s="305">
        <f>'6 Oversikt startpunkt'!K43</f>
        <v>0.7</v>
      </c>
      <c r="V18" s="270">
        <f>'7 Passivhusnivå'!M27</f>
        <v>0.1</v>
      </c>
      <c r="W18" s="305">
        <f>'6 Oversikt startpunkt'!L43</f>
        <v>0.7</v>
      </c>
      <c r="X18" s="270">
        <f>'7 Passivhusnivå'!N27</f>
        <v>0.16</v>
      </c>
      <c r="Y18" s="305">
        <f>'6 Oversikt startpunkt'!M43</f>
        <v>0.7</v>
      </c>
      <c r="Z18" s="312">
        <f>'7 Passivhusnivå'!O27</f>
        <v>0.16</v>
      </c>
    </row>
    <row r="19" spans="1:26" x14ac:dyDescent="0.2">
      <c r="A19" s="699"/>
      <c r="B19" s="144" t="s">
        <v>13</v>
      </c>
      <c r="C19" s="305">
        <f>'6 Oversikt startpunkt'!B48</f>
        <v>5</v>
      </c>
      <c r="D19" s="270">
        <f>(C19+'7 Passivhusnivå'!C32)*0.5</f>
        <v>2.8</v>
      </c>
      <c r="E19" s="305">
        <f>'6 Oversikt startpunkt'!C48</f>
        <v>2.5</v>
      </c>
      <c r="F19" s="270">
        <f>(E19+'7 Passivhusnivå'!D32)*0.5</f>
        <v>1.55</v>
      </c>
      <c r="G19" s="305">
        <f>'6 Oversikt startpunkt'!D48</f>
        <v>3</v>
      </c>
      <c r="H19" s="270">
        <f>(G19+'7 Passivhusnivå'!F32)*0.5</f>
        <v>1.8</v>
      </c>
      <c r="I19" s="305">
        <f>'6 Oversikt startpunkt'!E48</f>
        <v>2.5</v>
      </c>
      <c r="J19" s="270">
        <f>(I19+'7 Passivhusnivå'!G32)*0.5</f>
        <v>1.55</v>
      </c>
      <c r="K19" s="305">
        <f>'6 Oversikt startpunkt'!F48</f>
        <v>3</v>
      </c>
      <c r="L19" s="270">
        <f>(K19+'7 Passivhusnivå'!H32)*0.5</f>
        <v>1.8</v>
      </c>
      <c r="M19" s="305">
        <f>'6 Oversikt startpunkt'!G48</f>
        <v>2.5</v>
      </c>
      <c r="N19" s="270">
        <f>(M19+'7 Passivhusnivå'!I32)*0.5</f>
        <v>1.55</v>
      </c>
      <c r="O19" s="305">
        <f>'6 Oversikt startpunkt'!H48</f>
        <v>2.5</v>
      </c>
      <c r="P19" s="270">
        <f>(O19+'7 Passivhusnivå'!J32)*0.5</f>
        <v>1.55</v>
      </c>
      <c r="Q19" s="305">
        <f>'6 Oversikt startpunkt'!I48</f>
        <v>3</v>
      </c>
      <c r="R19" s="270">
        <f>(Q19+'7 Passivhusnivå'!K32)*0.5</f>
        <v>1.8</v>
      </c>
      <c r="S19" s="305">
        <f>'6 Oversikt startpunkt'!J48</f>
        <v>3</v>
      </c>
      <c r="T19" s="270">
        <f>(S19+'7 Passivhusnivå'!L32)*0.5</f>
        <v>1.8</v>
      </c>
      <c r="U19" s="305">
        <f>'6 Oversikt startpunkt'!K48</f>
        <v>3</v>
      </c>
      <c r="V19" s="270">
        <f>(U19+'7 Passivhusnivå'!M32)*0.5</f>
        <v>1.8</v>
      </c>
      <c r="W19" s="305">
        <f>'6 Oversikt startpunkt'!L48</f>
        <v>2.5</v>
      </c>
      <c r="X19" s="270">
        <f>(W19+'7 Passivhusnivå'!N32)*0.5</f>
        <v>1.55</v>
      </c>
      <c r="Y19" s="305">
        <f>'6 Oversikt startpunkt'!M48</f>
        <v>3</v>
      </c>
      <c r="Z19" s="312">
        <f>(Y19+'7 Passivhusnivå'!O32)*0.5</f>
        <v>1.8</v>
      </c>
    </row>
    <row r="20" spans="1:26" x14ac:dyDescent="0.2">
      <c r="A20" s="699"/>
      <c r="B20" s="144" t="s">
        <v>267</v>
      </c>
      <c r="C20" s="311">
        <f>'6 Oversikt startpunkt'!B47</f>
        <v>0.05</v>
      </c>
      <c r="D20" s="270">
        <f>'7 Passivhusnivå'!C31</f>
        <v>0.03</v>
      </c>
      <c r="E20" s="311">
        <f>'6 Oversikt startpunkt'!C47</f>
        <v>0.12</v>
      </c>
      <c r="F20" s="270">
        <f>'7 Passivhusnivå'!D31</f>
        <v>0.03</v>
      </c>
      <c r="G20" s="311">
        <f>'6 Oversikt startpunkt'!D47</f>
        <v>0.05</v>
      </c>
      <c r="H20" s="270">
        <f>'7 Passivhusnivå'!F31</f>
        <v>0.03</v>
      </c>
      <c r="I20" s="311">
        <f>'6 Oversikt startpunkt'!E47</f>
        <v>0.12</v>
      </c>
      <c r="J20" s="270">
        <f>'7 Passivhusnivå'!G31</f>
        <v>0.03</v>
      </c>
      <c r="K20" s="311">
        <f>'6 Oversikt startpunkt'!F47</f>
        <v>0.12</v>
      </c>
      <c r="L20" s="270">
        <f>'7 Passivhusnivå'!H31</f>
        <v>0.03</v>
      </c>
      <c r="M20" s="311">
        <f>'6 Oversikt startpunkt'!G47</f>
        <v>0.12</v>
      </c>
      <c r="N20" s="270">
        <f>'7 Passivhusnivå'!I31</f>
        <v>0.03</v>
      </c>
      <c r="O20" s="311">
        <f>'6 Oversikt startpunkt'!H47</f>
        <v>0.12</v>
      </c>
      <c r="P20" s="270">
        <f>'7 Passivhusnivå'!J31</f>
        <v>0.03</v>
      </c>
      <c r="Q20" s="311">
        <f>'6 Oversikt startpunkt'!I47</f>
        <v>0.05</v>
      </c>
      <c r="R20" s="270">
        <f>'7 Passivhusnivå'!K31</f>
        <v>0.03</v>
      </c>
      <c r="S20" s="311">
        <f>'6 Oversikt startpunkt'!J47</f>
        <v>0.12</v>
      </c>
      <c r="T20" s="270">
        <f>'7 Passivhusnivå'!L31</f>
        <v>0.03</v>
      </c>
      <c r="U20" s="311">
        <f>'6 Oversikt startpunkt'!K47</f>
        <v>0.12</v>
      </c>
      <c r="V20" s="270">
        <f>'7 Passivhusnivå'!M31</f>
        <v>0.03</v>
      </c>
      <c r="W20" s="311">
        <f>'6 Oversikt startpunkt'!L47</f>
        <v>0.12</v>
      </c>
      <c r="X20" s="270">
        <f>'7 Passivhusnivå'!N31</f>
        <v>0.03</v>
      </c>
      <c r="Y20" s="311">
        <f>'6 Oversikt startpunkt'!M47</f>
        <v>0.12</v>
      </c>
      <c r="Z20" s="313">
        <f>'7 Passivhusnivå'!O31</f>
        <v>0.03</v>
      </c>
    </row>
    <row r="21" spans="1:26" s="216" customFormat="1" x14ac:dyDescent="0.2">
      <c r="A21" s="699"/>
      <c r="B21" s="288" t="s">
        <v>490</v>
      </c>
      <c r="C21" s="289" t="s">
        <v>372</v>
      </c>
      <c r="D21" s="290" t="s">
        <v>397</v>
      </c>
      <c r="E21" s="289" t="s">
        <v>372</v>
      </c>
      <c r="F21" s="291" t="s">
        <v>397</v>
      </c>
      <c r="G21" s="292" t="s">
        <v>372</v>
      </c>
      <c r="H21" s="290" t="s">
        <v>397</v>
      </c>
      <c r="I21" s="289" t="s">
        <v>372</v>
      </c>
      <c r="J21" s="291" t="s">
        <v>397</v>
      </c>
      <c r="K21" s="292" t="s">
        <v>372</v>
      </c>
      <c r="L21" s="290" t="s">
        <v>397</v>
      </c>
      <c r="M21" s="289" t="s">
        <v>372</v>
      </c>
      <c r="N21" s="290" t="s">
        <v>397</v>
      </c>
      <c r="O21" s="289" t="s">
        <v>372</v>
      </c>
      <c r="P21" s="290" t="s">
        <v>397</v>
      </c>
      <c r="Q21" s="289" t="s">
        <v>372</v>
      </c>
      <c r="R21" s="290" t="s">
        <v>397</v>
      </c>
      <c r="S21" s="289" t="s">
        <v>372</v>
      </c>
      <c r="T21" s="290" t="s">
        <v>397</v>
      </c>
      <c r="U21" s="289" t="s">
        <v>372</v>
      </c>
      <c r="V21" s="290" t="s">
        <v>397</v>
      </c>
      <c r="W21" s="289" t="s">
        <v>372</v>
      </c>
      <c r="X21" s="290" t="s">
        <v>397</v>
      </c>
      <c r="Y21" s="289" t="s">
        <v>372</v>
      </c>
      <c r="Z21" s="291" t="s">
        <v>397</v>
      </c>
    </row>
    <row r="22" spans="1:26" x14ac:dyDescent="0.2">
      <c r="A22" s="699"/>
      <c r="B22" s="272" t="s">
        <v>373</v>
      </c>
      <c r="C22" s="230">
        <v>21976</v>
      </c>
      <c r="D22" s="231">
        <v>137.4</v>
      </c>
      <c r="E22" s="230">
        <v>110135</v>
      </c>
      <c r="F22" s="273">
        <v>122.4</v>
      </c>
      <c r="G22" s="285">
        <v>40597</v>
      </c>
      <c r="H22" s="231">
        <v>135.30000000000001</v>
      </c>
      <c r="I22" s="230">
        <v>239227</v>
      </c>
      <c r="J22" s="273">
        <v>66.5</v>
      </c>
      <c r="K22" s="285">
        <v>209587</v>
      </c>
      <c r="L22" s="231">
        <v>87.3</v>
      </c>
      <c r="M22" s="230">
        <v>262742</v>
      </c>
      <c r="N22" s="231">
        <v>73</v>
      </c>
      <c r="O22" s="230">
        <v>428427</v>
      </c>
      <c r="P22" s="231">
        <v>119</v>
      </c>
      <c r="Q22" s="230">
        <v>232039</v>
      </c>
      <c r="R22" s="231">
        <v>96.7</v>
      </c>
      <c r="S22" s="230">
        <v>271306</v>
      </c>
      <c r="T22" s="231">
        <v>113</v>
      </c>
      <c r="U22" s="230">
        <v>486411</v>
      </c>
      <c r="V22" s="231">
        <v>152</v>
      </c>
      <c r="W22" s="230">
        <v>317717</v>
      </c>
      <c r="X22" s="231">
        <v>88.3</v>
      </c>
      <c r="Y22" s="230">
        <v>287858</v>
      </c>
      <c r="Z22" s="273">
        <v>119.9</v>
      </c>
    </row>
    <row r="23" spans="1:26" x14ac:dyDescent="0.2">
      <c r="A23" s="699"/>
      <c r="B23" s="272" t="s">
        <v>374</v>
      </c>
      <c r="C23" s="230">
        <v>0</v>
      </c>
      <c r="D23" s="231">
        <v>0</v>
      </c>
      <c r="E23" s="230">
        <v>0</v>
      </c>
      <c r="F23" s="273">
        <v>0</v>
      </c>
      <c r="G23" s="285">
        <v>8735</v>
      </c>
      <c r="H23" s="231">
        <v>29.1</v>
      </c>
      <c r="I23" s="230">
        <v>103753</v>
      </c>
      <c r="J23" s="273">
        <v>28.8</v>
      </c>
      <c r="K23" s="285">
        <v>87727</v>
      </c>
      <c r="L23" s="231">
        <v>36.6</v>
      </c>
      <c r="M23" s="230">
        <v>135900</v>
      </c>
      <c r="N23" s="231">
        <v>37.799999999999997</v>
      </c>
      <c r="O23" s="230">
        <v>343168</v>
      </c>
      <c r="P23" s="231">
        <v>95.3</v>
      </c>
      <c r="Q23" s="230">
        <v>206746</v>
      </c>
      <c r="R23" s="231">
        <v>86.1</v>
      </c>
      <c r="S23" s="230">
        <v>130065</v>
      </c>
      <c r="T23" s="231">
        <v>54.2</v>
      </c>
      <c r="U23" s="230">
        <v>137059</v>
      </c>
      <c r="V23" s="231">
        <v>42.8</v>
      </c>
      <c r="W23" s="230">
        <v>239289</v>
      </c>
      <c r="X23" s="231">
        <v>66.5</v>
      </c>
      <c r="Y23" s="230">
        <v>73869</v>
      </c>
      <c r="Z23" s="273">
        <v>30.8</v>
      </c>
    </row>
    <row r="24" spans="1:26" x14ac:dyDescent="0.2">
      <c r="A24" s="699"/>
      <c r="B24" s="272" t="s">
        <v>375</v>
      </c>
      <c r="C24" s="230">
        <v>4765</v>
      </c>
      <c r="D24" s="231">
        <v>29.8</v>
      </c>
      <c r="E24" s="230">
        <v>26792</v>
      </c>
      <c r="F24" s="273">
        <v>29.8</v>
      </c>
      <c r="G24" s="285">
        <v>3007</v>
      </c>
      <c r="H24" s="231">
        <v>10</v>
      </c>
      <c r="I24" s="230">
        <v>18040</v>
      </c>
      <c r="J24" s="273">
        <v>5</v>
      </c>
      <c r="K24" s="285">
        <v>23530</v>
      </c>
      <c r="L24" s="231">
        <v>9.8000000000000007</v>
      </c>
      <c r="M24" s="230">
        <v>18040</v>
      </c>
      <c r="N24" s="231">
        <v>5</v>
      </c>
      <c r="O24" s="230">
        <v>107170</v>
      </c>
      <c r="P24" s="231">
        <v>29.8</v>
      </c>
      <c r="Q24" s="230">
        <v>71482</v>
      </c>
      <c r="R24" s="231">
        <v>29.8</v>
      </c>
      <c r="S24" s="230">
        <v>71482</v>
      </c>
      <c r="T24" s="231">
        <v>29.8</v>
      </c>
      <c r="U24" s="230">
        <v>156864</v>
      </c>
      <c r="V24" s="231">
        <v>49</v>
      </c>
      <c r="W24" s="230">
        <v>36408</v>
      </c>
      <c r="X24" s="231">
        <v>10.1</v>
      </c>
      <c r="Y24" s="230">
        <v>24054</v>
      </c>
      <c r="Z24" s="273">
        <v>10</v>
      </c>
    </row>
    <row r="25" spans="1:26" x14ac:dyDescent="0.2">
      <c r="A25" s="699"/>
      <c r="B25" s="272" t="s">
        <v>376</v>
      </c>
      <c r="C25" s="230">
        <v>0</v>
      </c>
      <c r="D25" s="231">
        <v>0</v>
      </c>
      <c r="E25" s="230">
        <v>0</v>
      </c>
      <c r="F25" s="273">
        <v>0</v>
      </c>
      <c r="G25" s="285">
        <v>10505</v>
      </c>
      <c r="H25" s="231">
        <v>35</v>
      </c>
      <c r="I25" s="230">
        <v>123343</v>
      </c>
      <c r="J25" s="273">
        <v>34.299999999999997</v>
      </c>
      <c r="K25" s="285">
        <v>92310</v>
      </c>
      <c r="L25" s="231">
        <v>38.5</v>
      </c>
      <c r="M25" s="230">
        <v>160332</v>
      </c>
      <c r="N25" s="231">
        <v>44.5</v>
      </c>
      <c r="O25" s="230">
        <v>369461</v>
      </c>
      <c r="P25" s="231">
        <v>102.6</v>
      </c>
      <c r="Q25" s="230">
        <v>216212</v>
      </c>
      <c r="R25" s="231">
        <v>90.1</v>
      </c>
      <c r="S25" s="230">
        <v>149037</v>
      </c>
      <c r="T25" s="231">
        <v>62.1</v>
      </c>
      <c r="U25" s="230">
        <v>108368</v>
      </c>
      <c r="V25" s="231">
        <v>33.9</v>
      </c>
      <c r="W25" s="230">
        <v>294892</v>
      </c>
      <c r="X25" s="231">
        <v>81.900000000000006</v>
      </c>
      <c r="Y25" s="230">
        <v>91350</v>
      </c>
      <c r="Z25" s="273">
        <v>38.1</v>
      </c>
    </row>
    <row r="26" spans="1:26" x14ac:dyDescent="0.2">
      <c r="A26" s="699"/>
      <c r="B26" s="272" t="s">
        <v>377</v>
      </c>
      <c r="C26" s="230">
        <v>151</v>
      </c>
      <c r="D26" s="231">
        <v>0.9</v>
      </c>
      <c r="E26" s="230">
        <v>780</v>
      </c>
      <c r="F26" s="273">
        <v>0.9</v>
      </c>
      <c r="G26" s="285">
        <v>485</v>
      </c>
      <c r="H26" s="231">
        <v>1.6</v>
      </c>
      <c r="I26" s="230">
        <v>10833</v>
      </c>
      <c r="J26" s="273">
        <v>3</v>
      </c>
      <c r="K26" s="285">
        <v>4045</v>
      </c>
      <c r="L26" s="231">
        <v>1.7</v>
      </c>
      <c r="M26" s="230">
        <v>12507</v>
      </c>
      <c r="N26" s="231">
        <v>3.5</v>
      </c>
      <c r="O26" s="230">
        <v>15821</v>
      </c>
      <c r="P26" s="231">
        <v>4.4000000000000004</v>
      </c>
      <c r="Q26" s="230">
        <v>3466</v>
      </c>
      <c r="R26" s="231">
        <v>1.4</v>
      </c>
      <c r="S26" s="230">
        <v>12778</v>
      </c>
      <c r="T26" s="231">
        <v>5.3</v>
      </c>
      <c r="U26" s="230">
        <v>5656</v>
      </c>
      <c r="V26" s="231">
        <v>1.8</v>
      </c>
      <c r="W26" s="230">
        <v>17308</v>
      </c>
      <c r="X26" s="231">
        <v>4.8</v>
      </c>
      <c r="Y26" s="230">
        <v>8026</v>
      </c>
      <c r="Z26" s="273">
        <v>3.3</v>
      </c>
    </row>
    <row r="27" spans="1:26" x14ac:dyDescent="0.2">
      <c r="A27" s="699"/>
      <c r="B27" s="272" t="s">
        <v>378</v>
      </c>
      <c r="C27" s="230">
        <v>1993</v>
      </c>
      <c r="D27" s="231">
        <v>12.5</v>
      </c>
      <c r="E27" s="230">
        <v>11214</v>
      </c>
      <c r="F27" s="273">
        <v>12.5</v>
      </c>
      <c r="G27" s="285">
        <v>10805</v>
      </c>
      <c r="H27" s="231">
        <v>36</v>
      </c>
      <c r="I27" s="230">
        <v>152215</v>
      </c>
      <c r="J27" s="273">
        <v>42.3</v>
      </c>
      <c r="K27" s="285">
        <v>89010</v>
      </c>
      <c r="L27" s="231">
        <v>37.1</v>
      </c>
      <c r="M27" s="230">
        <v>152215</v>
      </c>
      <c r="N27" s="231">
        <v>42.3</v>
      </c>
      <c r="O27" s="230">
        <v>275951</v>
      </c>
      <c r="P27" s="231">
        <v>76.7</v>
      </c>
      <c r="Q27" s="230">
        <v>183960</v>
      </c>
      <c r="R27" s="231">
        <v>76.7</v>
      </c>
      <c r="S27" s="230">
        <v>183960</v>
      </c>
      <c r="T27" s="231">
        <v>76.7</v>
      </c>
      <c r="U27" s="230">
        <v>111456</v>
      </c>
      <c r="V27" s="231">
        <v>34.799999999999997</v>
      </c>
      <c r="W27" s="230">
        <v>341223</v>
      </c>
      <c r="X27" s="231">
        <v>94.8</v>
      </c>
      <c r="Y27" s="230">
        <v>93960</v>
      </c>
      <c r="Z27" s="273">
        <v>39.1</v>
      </c>
    </row>
    <row r="28" spans="1:26" x14ac:dyDescent="0.2">
      <c r="A28" s="699"/>
      <c r="B28" s="272" t="s">
        <v>379</v>
      </c>
      <c r="C28" s="230">
        <v>3066</v>
      </c>
      <c r="D28" s="231">
        <v>19.2</v>
      </c>
      <c r="E28" s="230">
        <v>17247</v>
      </c>
      <c r="F28" s="273">
        <v>19.2</v>
      </c>
      <c r="G28" s="285">
        <v>1801</v>
      </c>
      <c r="H28" s="231">
        <v>6</v>
      </c>
      <c r="I28" s="230">
        <v>139560</v>
      </c>
      <c r="J28" s="273">
        <v>38.799999999999997</v>
      </c>
      <c r="K28" s="285">
        <v>35604</v>
      </c>
      <c r="L28" s="231">
        <v>14.8</v>
      </c>
      <c r="M28" s="230">
        <v>139560</v>
      </c>
      <c r="N28" s="231">
        <v>38.799999999999997</v>
      </c>
      <c r="O28" s="230">
        <v>183960</v>
      </c>
      <c r="P28" s="231">
        <v>51.1</v>
      </c>
      <c r="Q28" s="230">
        <v>61320</v>
      </c>
      <c r="R28" s="231">
        <v>25.6</v>
      </c>
      <c r="S28" s="230">
        <v>15330</v>
      </c>
      <c r="T28" s="231">
        <v>6.4</v>
      </c>
      <c r="U28" s="230">
        <v>9288</v>
      </c>
      <c r="V28" s="231">
        <v>2.9</v>
      </c>
      <c r="W28" s="230">
        <v>15163</v>
      </c>
      <c r="X28" s="231">
        <v>4.2</v>
      </c>
      <c r="Y28" s="230">
        <v>7830</v>
      </c>
      <c r="Z28" s="273">
        <v>3.3</v>
      </c>
    </row>
    <row r="29" spans="1:26" x14ac:dyDescent="0.2">
      <c r="A29" s="699"/>
      <c r="B29" s="272" t="s">
        <v>380</v>
      </c>
      <c r="C29" s="230">
        <v>0</v>
      </c>
      <c r="D29" s="231">
        <v>0</v>
      </c>
      <c r="E29" s="235">
        <v>0</v>
      </c>
      <c r="F29" s="273">
        <v>0</v>
      </c>
      <c r="G29" s="285">
        <v>0</v>
      </c>
      <c r="H29" s="231">
        <v>0</v>
      </c>
      <c r="I29" s="230">
        <v>0</v>
      </c>
      <c r="J29" s="273">
        <v>0</v>
      </c>
      <c r="K29" s="285">
        <v>0</v>
      </c>
      <c r="L29" s="231">
        <v>0</v>
      </c>
      <c r="M29" s="230">
        <v>0</v>
      </c>
      <c r="N29" s="231">
        <v>0</v>
      </c>
      <c r="O29" s="230">
        <v>0</v>
      </c>
      <c r="P29" s="231">
        <v>0</v>
      </c>
      <c r="Q29" s="230">
        <v>0</v>
      </c>
      <c r="R29" s="231">
        <v>0</v>
      </c>
      <c r="S29" s="230">
        <v>0</v>
      </c>
      <c r="T29" s="231">
        <v>0</v>
      </c>
      <c r="U29" s="230">
        <v>0</v>
      </c>
      <c r="V29" s="231">
        <v>0</v>
      </c>
      <c r="W29" s="230">
        <v>0</v>
      </c>
      <c r="X29" s="231">
        <v>0</v>
      </c>
      <c r="Y29" s="230">
        <v>0</v>
      </c>
      <c r="Z29" s="273">
        <v>0</v>
      </c>
    </row>
    <row r="30" spans="1:26" x14ac:dyDescent="0.2">
      <c r="A30" s="699"/>
      <c r="B30" s="272" t="s">
        <v>381</v>
      </c>
      <c r="C30" s="230">
        <v>0</v>
      </c>
      <c r="D30" s="231">
        <v>0</v>
      </c>
      <c r="E30" s="235">
        <v>0</v>
      </c>
      <c r="F30" s="273">
        <v>0</v>
      </c>
      <c r="G30" s="285">
        <v>0</v>
      </c>
      <c r="H30" s="231">
        <v>0</v>
      </c>
      <c r="I30" s="230">
        <v>73966</v>
      </c>
      <c r="J30" s="273">
        <v>20.5</v>
      </c>
      <c r="K30" s="285">
        <v>0</v>
      </c>
      <c r="L30" s="231">
        <v>0</v>
      </c>
      <c r="M30" s="230">
        <v>94347</v>
      </c>
      <c r="N30" s="231">
        <v>26.2</v>
      </c>
      <c r="O30" s="230">
        <v>188740</v>
      </c>
      <c r="P30" s="231">
        <v>52.4</v>
      </c>
      <c r="Q30" s="230">
        <v>0</v>
      </c>
      <c r="R30" s="231">
        <v>0</v>
      </c>
      <c r="S30" s="230">
        <v>85693</v>
      </c>
      <c r="T30" s="231">
        <v>35.700000000000003</v>
      </c>
      <c r="U30" s="230">
        <v>0</v>
      </c>
      <c r="V30" s="231">
        <v>0</v>
      </c>
      <c r="W30" s="230">
        <v>189046</v>
      </c>
      <c r="X30" s="231">
        <v>52.5</v>
      </c>
      <c r="Y30" s="230">
        <v>61993</v>
      </c>
      <c r="Z30" s="273">
        <v>25.8</v>
      </c>
    </row>
    <row r="31" spans="1:26" s="20" customFormat="1" x14ac:dyDescent="0.2">
      <c r="A31" s="699"/>
      <c r="B31" s="274" t="s">
        <v>382</v>
      </c>
      <c r="C31" s="275">
        <v>31951</v>
      </c>
      <c r="D31" s="276">
        <v>199.7</v>
      </c>
      <c r="E31" s="277">
        <v>166169</v>
      </c>
      <c r="F31" s="287">
        <v>184.6</v>
      </c>
      <c r="G31" s="286">
        <v>75934</v>
      </c>
      <c r="H31" s="276">
        <v>253.1</v>
      </c>
      <c r="I31" s="275">
        <v>860937</v>
      </c>
      <c r="J31" s="279">
        <v>239.1</v>
      </c>
      <c r="K31" s="286">
        <v>541814</v>
      </c>
      <c r="L31" s="276">
        <v>225.8</v>
      </c>
      <c r="M31" s="275">
        <v>975643</v>
      </c>
      <c r="N31" s="276">
        <v>271</v>
      </c>
      <c r="O31" s="275">
        <v>1912699</v>
      </c>
      <c r="P31" s="276">
        <v>531.29999999999995</v>
      </c>
      <c r="Q31" s="275">
        <v>975224</v>
      </c>
      <c r="R31" s="276">
        <v>406.3</v>
      </c>
      <c r="S31" s="275">
        <v>919651</v>
      </c>
      <c r="T31" s="276">
        <v>383.2</v>
      </c>
      <c r="U31" s="275">
        <v>1015102</v>
      </c>
      <c r="V31" s="276">
        <v>317.2</v>
      </c>
      <c r="W31" s="275">
        <v>1451046</v>
      </c>
      <c r="X31" s="276">
        <v>403.1</v>
      </c>
      <c r="Y31" s="275">
        <v>648940</v>
      </c>
      <c r="Z31" s="279">
        <v>270.39999999999998</v>
      </c>
    </row>
    <row r="32" spans="1:26" s="216" customFormat="1" x14ac:dyDescent="0.2">
      <c r="A32" s="699"/>
      <c r="B32" s="283" t="s">
        <v>491</v>
      </c>
      <c r="C32" s="289" t="s">
        <v>372</v>
      </c>
      <c r="D32" s="291" t="s">
        <v>397</v>
      </c>
      <c r="E32" s="289" t="s">
        <v>372</v>
      </c>
      <c r="F32" s="291" t="s">
        <v>397</v>
      </c>
      <c r="G32" s="289" t="s">
        <v>372</v>
      </c>
      <c r="H32" s="291" t="s">
        <v>397</v>
      </c>
      <c r="I32" s="289" t="s">
        <v>372</v>
      </c>
      <c r="J32" s="291" t="s">
        <v>397</v>
      </c>
      <c r="K32" s="289" t="s">
        <v>372</v>
      </c>
      <c r="L32" s="291" t="s">
        <v>397</v>
      </c>
      <c r="M32" s="289" t="s">
        <v>372</v>
      </c>
      <c r="N32" s="291" t="s">
        <v>397</v>
      </c>
      <c r="O32" s="289" t="s">
        <v>372</v>
      </c>
      <c r="P32" s="291" t="s">
        <v>397</v>
      </c>
      <c r="Q32" s="289" t="s">
        <v>372</v>
      </c>
      <c r="R32" s="291" t="s">
        <v>397</v>
      </c>
      <c r="S32" s="289" t="s">
        <v>372</v>
      </c>
      <c r="T32" s="291" t="s">
        <v>397</v>
      </c>
      <c r="U32" s="289" t="s">
        <v>372</v>
      </c>
      <c r="V32" s="291" t="s">
        <v>397</v>
      </c>
      <c r="W32" s="289" t="s">
        <v>372</v>
      </c>
      <c r="X32" s="291" t="s">
        <v>397</v>
      </c>
      <c r="Y32" s="289" t="s">
        <v>372</v>
      </c>
      <c r="Z32" s="291" t="s">
        <v>397</v>
      </c>
    </row>
    <row r="33" spans="1:26" x14ac:dyDescent="0.2">
      <c r="A33" s="699"/>
      <c r="B33" s="272" t="s">
        <v>373</v>
      </c>
      <c r="C33" s="230">
        <f t="shared" ref="C33:Z33" si="0">C$6-C22</f>
        <v>8710</v>
      </c>
      <c r="D33" s="293">
        <f t="shared" si="0"/>
        <v>54.400000000000006</v>
      </c>
      <c r="E33" s="230">
        <f t="shared" si="0"/>
        <v>45482</v>
      </c>
      <c r="F33" s="293">
        <f t="shared" si="0"/>
        <v>50.5</v>
      </c>
      <c r="G33" s="230">
        <f t="shared" si="0"/>
        <v>9216</v>
      </c>
      <c r="H33" s="293">
        <f t="shared" si="0"/>
        <v>30.699999999999989</v>
      </c>
      <c r="I33" s="230">
        <f t="shared" si="0"/>
        <v>122785</v>
      </c>
      <c r="J33" s="293">
        <f t="shared" si="0"/>
        <v>34.099999999999994</v>
      </c>
      <c r="K33" s="230">
        <f t="shared" si="0"/>
        <v>86263</v>
      </c>
      <c r="L33" s="293">
        <f t="shared" si="0"/>
        <v>36</v>
      </c>
      <c r="M33" s="230">
        <f t="shared" si="0"/>
        <v>129206</v>
      </c>
      <c r="N33" s="293">
        <f t="shared" si="0"/>
        <v>35.900000000000006</v>
      </c>
      <c r="O33" s="230">
        <f t="shared" si="0"/>
        <v>141425</v>
      </c>
      <c r="P33" s="293">
        <f t="shared" si="0"/>
        <v>39.300000000000011</v>
      </c>
      <c r="Q33" s="230">
        <f t="shared" si="0"/>
        <v>44077</v>
      </c>
      <c r="R33" s="293">
        <f t="shared" si="0"/>
        <v>18.299999999999997</v>
      </c>
      <c r="S33" s="230">
        <f t="shared" si="0"/>
        <v>96031</v>
      </c>
      <c r="T33" s="293">
        <f t="shared" si="0"/>
        <v>40.099999999999994</v>
      </c>
      <c r="U33" s="230">
        <f t="shared" si="0"/>
        <v>197887</v>
      </c>
      <c r="V33" s="293">
        <f t="shared" si="0"/>
        <v>61.800000000000011</v>
      </c>
      <c r="W33" s="230">
        <f t="shared" si="0"/>
        <v>137732</v>
      </c>
      <c r="X33" s="293">
        <f t="shared" si="0"/>
        <v>38.200000000000003</v>
      </c>
      <c r="Y33" s="230">
        <f t="shared" si="0"/>
        <v>94470</v>
      </c>
      <c r="Z33" s="293">
        <f t="shared" si="0"/>
        <v>39.400000000000006</v>
      </c>
    </row>
    <row r="34" spans="1:26" x14ac:dyDescent="0.2">
      <c r="A34" s="699"/>
      <c r="B34" s="272" t="s">
        <v>374</v>
      </c>
      <c r="C34" s="230">
        <f t="shared" ref="C34:Z34" si="1">C$7-C23</f>
        <v>0</v>
      </c>
      <c r="D34" s="293">
        <f t="shared" si="1"/>
        <v>0</v>
      </c>
      <c r="E34" s="230">
        <f t="shared" si="1"/>
        <v>0</v>
      </c>
      <c r="F34" s="293">
        <f t="shared" si="1"/>
        <v>0</v>
      </c>
      <c r="G34" s="230">
        <f t="shared" si="1"/>
        <v>46</v>
      </c>
      <c r="H34" s="293">
        <f t="shared" si="1"/>
        <v>0.19999999999999929</v>
      </c>
      <c r="I34" s="230">
        <f t="shared" si="1"/>
        <v>1295</v>
      </c>
      <c r="J34" s="293">
        <f t="shared" si="1"/>
        <v>0.39999999999999858</v>
      </c>
      <c r="K34" s="230">
        <f t="shared" si="1"/>
        <v>428</v>
      </c>
      <c r="L34" s="293">
        <f t="shared" si="1"/>
        <v>0.10000000000000142</v>
      </c>
      <c r="M34" s="230">
        <f t="shared" si="1"/>
        <v>1055</v>
      </c>
      <c r="N34" s="293">
        <f t="shared" si="1"/>
        <v>0.20000000000000284</v>
      </c>
      <c r="O34" s="230">
        <f t="shared" si="1"/>
        <v>236</v>
      </c>
      <c r="P34" s="293">
        <f t="shared" si="1"/>
        <v>0.10000000000000853</v>
      </c>
      <c r="Q34" s="230">
        <f t="shared" si="1"/>
        <v>145</v>
      </c>
      <c r="R34" s="293">
        <f t="shared" si="1"/>
        <v>0.10000000000000853</v>
      </c>
      <c r="S34" s="230">
        <f t="shared" si="1"/>
        <v>27</v>
      </c>
      <c r="T34" s="293">
        <f t="shared" si="1"/>
        <v>0</v>
      </c>
      <c r="U34" s="230">
        <f t="shared" si="1"/>
        <v>929</v>
      </c>
      <c r="V34" s="293">
        <f t="shared" si="1"/>
        <v>0.30000000000000426</v>
      </c>
      <c r="W34" s="230">
        <f t="shared" si="1"/>
        <v>521</v>
      </c>
      <c r="X34" s="293">
        <f t="shared" si="1"/>
        <v>9.9999999999994316E-2</v>
      </c>
      <c r="Y34" s="230">
        <f t="shared" si="1"/>
        <v>16</v>
      </c>
      <c r="Z34" s="293">
        <f t="shared" si="1"/>
        <v>0</v>
      </c>
    </row>
    <row r="35" spans="1:26" x14ac:dyDescent="0.2">
      <c r="A35" s="699"/>
      <c r="B35" s="272" t="s">
        <v>375</v>
      </c>
      <c r="C35" s="230">
        <f>C$8-C24</f>
        <v>0</v>
      </c>
      <c r="D35" s="293">
        <f t="shared" ref="D35:Z35" si="2">D$8-D24</f>
        <v>0</v>
      </c>
      <c r="E35" s="230">
        <f t="shared" si="2"/>
        <v>0</v>
      </c>
      <c r="F35" s="293">
        <f t="shared" si="2"/>
        <v>0</v>
      </c>
      <c r="G35" s="230">
        <f t="shared" si="2"/>
        <v>0</v>
      </c>
      <c r="H35" s="293">
        <f t="shared" si="2"/>
        <v>0</v>
      </c>
      <c r="I35" s="230">
        <f t="shared" si="2"/>
        <v>0</v>
      </c>
      <c r="J35" s="293">
        <f t="shared" si="2"/>
        <v>0</v>
      </c>
      <c r="K35" s="230">
        <f t="shared" si="2"/>
        <v>0</v>
      </c>
      <c r="L35" s="293">
        <f t="shared" si="2"/>
        <v>0</v>
      </c>
      <c r="M35" s="230">
        <f t="shared" si="2"/>
        <v>0</v>
      </c>
      <c r="N35" s="293">
        <f t="shared" si="2"/>
        <v>0</v>
      </c>
      <c r="O35" s="230">
        <f t="shared" si="2"/>
        <v>0</v>
      </c>
      <c r="P35" s="293">
        <f t="shared" si="2"/>
        <v>0</v>
      </c>
      <c r="Q35" s="230">
        <f t="shared" si="2"/>
        <v>0</v>
      </c>
      <c r="R35" s="293">
        <f t="shared" si="2"/>
        <v>0</v>
      </c>
      <c r="S35" s="230">
        <f t="shared" si="2"/>
        <v>0</v>
      </c>
      <c r="T35" s="293">
        <f t="shared" si="2"/>
        <v>0</v>
      </c>
      <c r="U35" s="230">
        <f t="shared" si="2"/>
        <v>0</v>
      </c>
      <c r="V35" s="293">
        <f t="shared" si="2"/>
        <v>0</v>
      </c>
      <c r="W35" s="230">
        <f t="shared" si="2"/>
        <v>0</v>
      </c>
      <c r="X35" s="293">
        <f t="shared" si="2"/>
        <v>0</v>
      </c>
      <c r="Y35" s="230">
        <f t="shared" si="2"/>
        <v>0</v>
      </c>
      <c r="Z35" s="293">
        <f t="shared" si="2"/>
        <v>0</v>
      </c>
    </row>
    <row r="36" spans="1:26" x14ac:dyDescent="0.2">
      <c r="A36" s="699"/>
      <c r="B36" s="272" t="s">
        <v>376</v>
      </c>
      <c r="C36" s="230">
        <f t="shared" ref="C36:Z36" si="3">C$9-C25</f>
        <v>0</v>
      </c>
      <c r="D36" s="293">
        <f t="shared" si="3"/>
        <v>0</v>
      </c>
      <c r="E36" s="230">
        <f t="shared" si="3"/>
        <v>0</v>
      </c>
      <c r="F36" s="293">
        <f t="shared" si="3"/>
        <v>0</v>
      </c>
      <c r="G36" s="230">
        <f t="shared" si="3"/>
        <v>0</v>
      </c>
      <c r="H36" s="293">
        <f t="shared" si="3"/>
        <v>0</v>
      </c>
      <c r="I36" s="230">
        <f t="shared" si="3"/>
        <v>0</v>
      </c>
      <c r="J36" s="293">
        <f t="shared" si="3"/>
        <v>0</v>
      </c>
      <c r="K36" s="230">
        <f t="shared" si="3"/>
        <v>0</v>
      </c>
      <c r="L36" s="293">
        <f t="shared" si="3"/>
        <v>0</v>
      </c>
      <c r="M36" s="230">
        <f t="shared" si="3"/>
        <v>0</v>
      </c>
      <c r="N36" s="293">
        <f t="shared" si="3"/>
        <v>0</v>
      </c>
      <c r="O36" s="230">
        <f t="shared" si="3"/>
        <v>0</v>
      </c>
      <c r="P36" s="293">
        <f t="shared" si="3"/>
        <v>0</v>
      </c>
      <c r="Q36" s="230">
        <f t="shared" si="3"/>
        <v>0</v>
      </c>
      <c r="R36" s="293">
        <f t="shared" si="3"/>
        <v>0</v>
      </c>
      <c r="S36" s="230">
        <f t="shared" si="3"/>
        <v>0</v>
      </c>
      <c r="T36" s="293">
        <f t="shared" si="3"/>
        <v>0</v>
      </c>
      <c r="U36" s="230">
        <f t="shared" si="3"/>
        <v>0</v>
      </c>
      <c r="V36" s="293">
        <f t="shared" si="3"/>
        <v>0</v>
      </c>
      <c r="W36" s="230">
        <f t="shared" si="3"/>
        <v>0</v>
      </c>
      <c r="X36" s="293">
        <f t="shared" si="3"/>
        <v>0</v>
      </c>
      <c r="Y36" s="230">
        <f t="shared" si="3"/>
        <v>0</v>
      </c>
      <c r="Z36" s="293">
        <f t="shared" si="3"/>
        <v>0</v>
      </c>
    </row>
    <row r="37" spans="1:26" x14ac:dyDescent="0.2">
      <c r="A37" s="699"/>
      <c r="B37" s="272" t="s">
        <v>377</v>
      </c>
      <c r="C37" s="230">
        <f t="shared" ref="C37:Z37" si="4">C$10-C26</f>
        <v>42</v>
      </c>
      <c r="D37" s="293">
        <f t="shared" si="4"/>
        <v>0.29999999999999993</v>
      </c>
      <c r="E37" s="230">
        <f t="shared" si="4"/>
        <v>186</v>
      </c>
      <c r="F37" s="293">
        <f t="shared" si="4"/>
        <v>0.20000000000000007</v>
      </c>
      <c r="G37" s="230">
        <f t="shared" si="4"/>
        <v>46</v>
      </c>
      <c r="H37" s="293">
        <f t="shared" si="4"/>
        <v>0.19999999999999996</v>
      </c>
      <c r="I37" s="230">
        <f t="shared" si="4"/>
        <v>539</v>
      </c>
      <c r="J37" s="293">
        <f t="shared" si="4"/>
        <v>0.20000000000000018</v>
      </c>
      <c r="K37" s="230">
        <f t="shared" si="4"/>
        <v>378</v>
      </c>
      <c r="L37" s="293">
        <f t="shared" si="4"/>
        <v>0.10000000000000009</v>
      </c>
      <c r="M37" s="230">
        <f t="shared" si="4"/>
        <v>539</v>
      </c>
      <c r="N37" s="293">
        <f t="shared" si="4"/>
        <v>0.10000000000000009</v>
      </c>
      <c r="O37" s="230">
        <f t="shared" si="4"/>
        <v>332</v>
      </c>
      <c r="P37" s="293">
        <f t="shared" si="4"/>
        <v>9.9999999999999645E-2</v>
      </c>
      <c r="Q37" s="230">
        <f t="shared" si="4"/>
        <v>209</v>
      </c>
      <c r="R37" s="293">
        <f t="shared" si="4"/>
        <v>0.10000000000000009</v>
      </c>
      <c r="S37" s="230">
        <f t="shared" si="4"/>
        <v>386</v>
      </c>
      <c r="T37" s="293">
        <f t="shared" si="4"/>
        <v>0.20000000000000018</v>
      </c>
      <c r="U37" s="230">
        <f t="shared" si="4"/>
        <v>972</v>
      </c>
      <c r="V37" s="293">
        <f t="shared" si="4"/>
        <v>0.30000000000000004</v>
      </c>
      <c r="W37" s="230">
        <f t="shared" si="4"/>
        <v>555</v>
      </c>
      <c r="X37" s="293">
        <f t="shared" si="4"/>
        <v>0.20000000000000018</v>
      </c>
      <c r="Y37" s="230">
        <f t="shared" si="4"/>
        <v>383</v>
      </c>
      <c r="Z37" s="293">
        <f t="shared" si="4"/>
        <v>0.20000000000000018</v>
      </c>
    </row>
    <row r="38" spans="1:26" x14ac:dyDescent="0.2">
      <c r="A38" s="699"/>
      <c r="B38" s="272" t="s">
        <v>378</v>
      </c>
      <c r="C38" s="230">
        <f t="shared" ref="C38:Z38" si="5">C$11-C27</f>
        <v>0</v>
      </c>
      <c r="D38" s="293">
        <f t="shared" si="5"/>
        <v>0</v>
      </c>
      <c r="E38" s="230">
        <f t="shared" si="5"/>
        <v>0</v>
      </c>
      <c r="F38" s="293">
        <f t="shared" si="5"/>
        <v>0</v>
      </c>
      <c r="G38" s="230">
        <f t="shared" si="5"/>
        <v>0</v>
      </c>
      <c r="H38" s="293">
        <f t="shared" si="5"/>
        <v>0</v>
      </c>
      <c r="I38" s="230">
        <f t="shared" si="5"/>
        <v>0</v>
      </c>
      <c r="J38" s="293">
        <f t="shared" si="5"/>
        <v>0</v>
      </c>
      <c r="K38" s="230">
        <f t="shared" si="5"/>
        <v>0</v>
      </c>
      <c r="L38" s="293">
        <f t="shared" si="5"/>
        <v>0</v>
      </c>
      <c r="M38" s="230">
        <f t="shared" si="5"/>
        <v>0</v>
      </c>
      <c r="N38" s="293">
        <f t="shared" si="5"/>
        <v>0</v>
      </c>
      <c r="O38" s="230">
        <f t="shared" si="5"/>
        <v>0</v>
      </c>
      <c r="P38" s="293">
        <f t="shared" si="5"/>
        <v>0</v>
      </c>
      <c r="Q38" s="230">
        <f t="shared" si="5"/>
        <v>0</v>
      </c>
      <c r="R38" s="293">
        <f t="shared" si="5"/>
        <v>0</v>
      </c>
      <c r="S38" s="230">
        <f t="shared" si="5"/>
        <v>0</v>
      </c>
      <c r="T38" s="293">
        <f t="shared" si="5"/>
        <v>0</v>
      </c>
      <c r="U38" s="230">
        <f t="shared" si="5"/>
        <v>0</v>
      </c>
      <c r="V38" s="293">
        <f t="shared" si="5"/>
        <v>0</v>
      </c>
      <c r="W38" s="230">
        <f t="shared" si="5"/>
        <v>0</v>
      </c>
      <c r="X38" s="293">
        <f t="shared" si="5"/>
        <v>0</v>
      </c>
      <c r="Y38" s="230">
        <f t="shared" si="5"/>
        <v>0</v>
      </c>
      <c r="Z38" s="293">
        <f t="shared" si="5"/>
        <v>0</v>
      </c>
    </row>
    <row r="39" spans="1:26" x14ac:dyDescent="0.2">
      <c r="A39" s="699"/>
      <c r="B39" s="272" t="s">
        <v>379</v>
      </c>
      <c r="C39" s="230">
        <f t="shared" ref="C39:Z39" si="6">C$12-C28</f>
        <v>0</v>
      </c>
      <c r="D39" s="293">
        <f t="shared" si="6"/>
        <v>0</v>
      </c>
      <c r="E39" s="230">
        <f t="shared" si="6"/>
        <v>0</v>
      </c>
      <c r="F39" s="293">
        <f t="shared" si="6"/>
        <v>0</v>
      </c>
      <c r="G39" s="230">
        <f t="shared" si="6"/>
        <v>0</v>
      </c>
      <c r="H39" s="293">
        <f t="shared" si="6"/>
        <v>0</v>
      </c>
      <c r="I39" s="230">
        <f t="shared" si="6"/>
        <v>0</v>
      </c>
      <c r="J39" s="293">
        <f t="shared" si="6"/>
        <v>0</v>
      </c>
      <c r="K39" s="230">
        <f t="shared" si="6"/>
        <v>0</v>
      </c>
      <c r="L39" s="293">
        <f t="shared" si="6"/>
        <v>0</v>
      </c>
      <c r="M39" s="230">
        <f t="shared" si="6"/>
        <v>0</v>
      </c>
      <c r="N39" s="293">
        <f t="shared" si="6"/>
        <v>0</v>
      </c>
      <c r="O39" s="230">
        <f t="shared" si="6"/>
        <v>0</v>
      </c>
      <c r="P39" s="293">
        <f t="shared" si="6"/>
        <v>0</v>
      </c>
      <c r="Q39" s="230">
        <f t="shared" si="6"/>
        <v>0</v>
      </c>
      <c r="R39" s="293">
        <f t="shared" si="6"/>
        <v>0</v>
      </c>
      <c r="S39" s="230">
        <f t="shared" si="6"/>
        <v>0</v>
      </c>
      <c r="T39" s="293">
        <f t="shared" si="6"/>
        <v>0</v>
      </c>
      <c r="U39" s="230">
        <f t="shared" si="6"/>
        <v>0</v>
      </c>
      <c r="V39" s="293">
        <f t="shared" si="6"/>
        <v>0</v>
      </c>
      <c r="W39" s="230">
        <f t="shared" si="6"/>
        <v>0</v>
      </c>
      <c r="X39" s="293">
        <f t="shared" si="6"/>
        <v>0</v>
      </c>
      <c r="Y39" s="230">
        <f t="shared" si="6"/>
        <v>0</v>
      </c>
      <c r="Z39" s="293">
        <f t="shared" si="6"/>
        <v>0</v>
      </c>
    </row>
    <row r="40" spans="1:26" x14ac:dyDescent="0.2">
      <c r="A40" s="699"/>
      <c r="B40" s="272" t="s">
        <v>380</v>
      </c>
      <c r="C40" s="230">
        <f t="shared" ref="C40:Z40" si="7">C$13-C29</f>
        <v>0</v>
      </c>
      <c r="D40" s="293">
        <f t="shared" si="7"/>
        <v>0</v>
      </c>
      <c r="E40" s="230">
        <f t="shared" si="7"/>
        <v>0</v>
      </c>
      <c r="F40" s="293">
        <f t="shared" si="7"/>
        <v>0</v>
      </c>
      <c r="G40" s="230">
        <f t="shared" si="7"/>
        <v>0</v>
      </c>
      <c r="H40" s="293">
        <f t="shared" si="7"/>
        <v>0</v>
      </c>
      <c r="I40" s="230">
        <f t="shared" si="7"/>
        <v>0</v>
      </c>
      <c r="J40" s="293">
        <f t="shared" si="7"/>
        <v>0</v>
      </c>
      <c r="K40" s="230">
        <f t="shared" si="7"/>
        <v>0</v>
      </c>
      <c r="L40" s="293">
        <f t="shared" si="7"/>
        <v>0</v>
      </c>
      <c r="M40" s="230">
        <f t="shared" si="7"/>
        <v>0</v>
      </c>
      <c r="N40" s="293">
        <f t="shared" si="7"/>
        <v>0</v>
      </c>
      <c r="O40" s="230">
        <f t="shared" si="7"/>
        <v>0</v>
      </c>
      <c r="P40" s="293">
        <f t="shared" si="7"/>
        <v>0</v>
      </c>
      <c r="Q40" s="230">
        <f t="shared" si="7"/>
        <v>0</v>
      </c>
      <c r="R40" s="293">
        <f t="shared" si="7"/>
        <v>0</v>
      </c>
      <c r="S40" s="230">
        <f t="shared" si="7"/>
        <v>0</v>
      </c>
      <c r="T40" s="293">
        <f t="shared" si="7"/>
        <v>0</v>
      </c>
      <c r="U40" s="230">
        <f t="shared" si="7"/>
        <v>0</v>
      </c>
      <c r="V40" s="293">
        <f t="shared" si="7"/>
        <v>0</v>
      </c>
      <c r="W40" s="230">
        <f t="shared" si="7"/>
        <v>0</v>
      </c>
      <c r="X40" s="293">
        <f t="shared" si="7"/>
        <v>0</v>
      </c>
      <c r="Y40" s="230">
        <f t="shared" si="7"/>
        <v>0</v>
      </c>
      <c r="Z40" s="293">
        <f t="shared" si="7"/>
        <v>0</v>
      </c>
    </row>
    <row r="41" spans="1:26" x14ac:dyDescent="0.2">
      <c r="A41" s="699"/>
      <c r="B41" s="272" t="s">
        <v>381</v>
      </c>
      <c r="C41" s="230">
        <f t="shared" ref="C41:Z41" si="8">C$14-C30</f>
        <v>0</v>
      </c>
      <c r="D41" s="293">
        <f t="shared" si="8"/>
        <v>0</v>
      </c>
      <c r="E41" s="230">
        <f t="shared" si="8"/>
        <v>0</v>
      </c>
      <c r="F41" s="293">
        <f t="shared" si="8"/>
        <v>0</v>
      </c>
      <c r="G41" s="230">
        <f t="shared" si="8"/>
        <v>0</v>
      </c>
      <c r="H41" s="293">
        <f t="shared" si="8"/>
        <v>0</v>
      </c>
      <c r="I41" s="230">
        <f t="shared" si="8"/>
        <v>0</v>
      </c>
      <c r="J41" s="293">
        <f t="shared" si="8"/>
        <v>0</v>
      </c>
      <c r="K41" s="230">
        <f t="shared" si="8"/>
        <v>0</v>
      </c>
      <c r="L41" s="293">
        <f t="shared" si="8"/>
        <v>0</v>
      </c>
      <c r="M41" s="230">
        <f t="shared" si="8"/>
        <v>0</v>
      </c>
      <c r="N41" s="293">
        <f t="shared" si="8"/>
        <v>0</v>
      </c>
      <c r="O41" s="230">
        <f t="shared" si="8"/>
        <v>0</v>
      </c>
      <c r="P41" s="293">
        <f t="shared" si="8"/>
        <v>0</v>
      </c>
      <c r="Q41" s="230">
        <f t="shared" si="8"/>
        <v>0</v>
      </c>
      <c r="R41" s="293">
        <f t="shared" si="8"/>
        <v>0</v>
      </c>
      <c r="S41" s="230">
        <f t="shared" si="8"/>
        <v>0</v>
      </c>
      <c r="T41" s="293">
        <f t="shared" si="8"/>
        <v>0</v>
      </c>
      <c r="U41" s="230">
        <f t="shared" si="8"/>
        <v>0</v>
      </c>
      <c r="V41" s="293">
        <f t="shared" si="8"/>
        <v>0</v>
      </c>
      <c r="W41" s="230">
        <f t="shared" si="8"/>
        <v>0</v>
      </c>
      <c r="X41" s="293">
        <f t="shared" si="8"/>
        <v>0</v>
      </c>
      <c r="Y41" s="230">
        <f t="shared" si="8"/>
        <v>0</v>
      </c>
      <c r="Z41" s="293">
        <f t="shared" si="8"/>
        <v>0</v>
      </c>
    </row>
    <row r="42" spans="1:26" s="20" customFormat="1" x14ac:dyDescent="0.2">
      <c r="A42" s="700"/>
      <c r="B42" s="274" t="s">
        <v>382</v>
      </c>
      <c r="C42" s="275">
        <f t="shared" ref="C42:Z42" si="9">C$15-C31</f>
        <v>8752</v>
      </c>
      <c r="D42" s="294">
        <f t="shared" si="9"/>
        <v>54.700000000000017</v>
      </c>
      <c r="E42" s="275">
        <f t="shared" si="9"/>
        <v>45668</v>
      </c>
      <c r="F42" s="294">
        <f t="shared" si="9"/>
        <v>50.800000000000011</v>
      </c>
      <c r="G42" s="275">
        <f t="shared" si="9"/>
        <v>9309</v>
      </c>
      <c r="H42" s="294">
        <f t="shared" si="9"/>
        <v>31.000000000000028</v>
      </c>
      <c r="I42" s="275">
        <f t="shared" si="9"/>
        <v>124619</v>
      </c>
      <c r="J42" s="294">
        <f t="shared" si="9"/>
        <v>34.700000000000017</v>
      </c>
      <c r="K42" s="275">
        <f t="shared" si="9"/>
        <v>87069</v>
      </c>
      <c r="L42" s="294">
        <f t="shared" si="9"/>
        <v>36.199999999999989</v>
      </c>
      <c r="M42" s="275">
        <f t="shared" si="9"/>
        <v>130800</v>
      </c>
      <c r="N42" s="294">
        <f t="shared" si="9"/>
        <v>36.300000000000011</v>
      </c>
      <c r="O42" s="275">
        <f t="shared" si="9"/>
        <v>141992</v>
      </c>
      <c r="P42" s="294">
        <f t="shared" si="9"/>
        <v>39.400000000000091</v>
      </c>
      <c r="Q42" s="275">
        <f t="shared" si="9"/>
        <v>44432</v>
      </c>
      <c r="R42" s="294">
        <f t="shared" si="9"/>
        <v>18.599999999999966</v>
      </c>
      <c r="S42" s="275">
        <f t="shared" si="9"/>
        <v>96444</v>
      </c>
      <c r="T42" s="294">
        <f t="shared" si="9"/>
        <v>40.199999999999989</v>
      </c>
      <c r="U42" s="275">
        <f t="shared" si="9"/>
        <v>199789</v>
      </c>
      <c r="V42" s="294">
        <f t="shared" si="9"/>
        <v>62.5</v>
      </c>
      <c r="W42" s="275">
        <f t="shared" si="9"/>
        <v>138809</v>
      </c>
      <c r="X42" s="294">
        <f t="shared" si="9"/>
        <v>38.5</v>
      </c>
      <c r="Y42" s="275">
        <f t="shared" si="9"/>
        <v>94868</v>
      </c>
      <c r="Z42" s="294">
        <f t="shared" si="9"/>
        <v>39.5</v>
      </c>
    </row>
    <row r="43" spans="1:26" s="20" customFormat="1" x14ac:dyDescent="0.2">
      <c r="A43" s="266"/>
      <c r="B43" s="227"/>
      <c r="C43" s="267"/>
      <c r="D43" s="232"/>
      <c r="E43" s="268"/>
      <c r="F43" s="237"/>
      <c r="G43" s="267"/>
      <c r="H43" s="232"/>
      <c r="I43" s="267"/>
      <c r="J43" s="232"/>
      <c r="K43" s="267"/>
      <c r="L43" s="232"/>
      <c r="M43" s="267"/>
      <c r="N43" s="232"/>
      <c r="O43" s="267"/>
      <c r="P43" s="232"/>
      <c r="Q43" s="267"/>
      <c r="R43" s="232"/>
      <c r="S43" s="267"/>
      <c r="T43" s="232"/>
      <c r="U43" s="267"/>
      <c r="V43" s="232"/>
      <c r="W43" s="267"/>
      <c r="X43" s="232"/>
      <c r="Y43" s="267"/>
      <c r="Z43" s="232"/>
    </row>
    <row r="44" spans="1:26" s="202" customFormat="1" x14ac:dyDescent="0.2">
      <c r="A44" s="698" t="s">
        <v>509</v>
      </c>
      <c r="B44" s="269" t="s">
        <v>488</v>
      </c>
      <c r="C44" s="304" t="s">
        <v>486</v>
      </c>
      <c r="D44" s="280" t="s">
        <v>487</v>
      </c>
      <c r="E44" s="304" t="s">
        <v>486</v>
      </c>
      <c r="F44" s="280" t="s">
        <v>487</v>
      </c>
      <c r="G44" s="304" t="s">
        <v>486</v>
      </c>
      <c r="H44" s="280" t="s">
        <v>487</v>
      </c>
      <c r="I44" s="304" t="s">
        <v>486</v>
      </c>
      <c r="J44" s="280" t="s">
        <v>487</v>
      </c>
      <c r="K44" s="304" t="s">
        <v>486</v>
      </c>
      <c r="L44" s="280" t="s">
        <v>487</v>
      </c>
      <c r="M44" s="304" t="s">
        <v>486</v>
      </c>
      <c r="N44" s="280" t="s">
        <v>487</v>
      </c>
      <c r="O44" s="304" t="s">
        <v>486</v>
      </c>
      <c r="P44" s="280" t="s">
        <v>487</v>
      </c>
      <c r="Q44" s="304" t="s">
        <v>486</v>
      </c>
      <c r="R44" s="280" t="s">
        <v>487</v>
      </c>
      <c r="S44" s="304" t="s">
        <v>486</v>
      </c>
      <c r="T44" s="280" t="s">
        <v>487</v>
      </c>
      <c r="U44" s="304" t="s">
        <v>486</v>
      </c>
      <c r="V44" s="280" t="s">
        <v>487</v>
      </c>
      <c r="W44" s="304" t="s">
        <v>486</v>
      </c>
      <c r="X44" s="280" t="s">
        <v>487</v>
      </c>
      <c r="Y44" s="304" t="s">
        <v>486</v>
      </c>
      <c r="Z44" s="314" t="s">
        <v>487</v>
      </c>
    </row>
    <row r="45" spans="1:26" x14ac:dyDescent="0.2">
      <c r="A45" s="699"/>
      <c r="B45" s="144" t="s">
        <v>262</v>
      </c>
      <c r="C45" s="305">
        <f>'6 Oversikt startpunkt'!B45</f>
        <v>0.3</v>
      </c>
      <c r="D45" s="270">
        <f>'7 Passivhusnivå'!C29</f>
        <v>0.08</v>
      </c>
      <c r="E45" s="305">
        <f>'6 Oversikt startpunkt'!C45</f>
        <v>0.35</v>
      </c>
      <c r="F45" s="270">
        <f>'7 Passivhusnivå'!D29</f>
        <v>0.1</v>
      </c>
      <c r="G45" s="305">
        <f>'6 Oversikt startpunkt'!D45</f>
        <v>0.3</v>
      </c>
      <c r="H45" s="270">
        <f>'7 Passivhusnivå'!F29</f>
        <v>0.1</v>
      </c>
      <c r="I45" s="305">
        <f>'6 Oversikt startpunkt'!E45</f>
        <v>0.35</v>
      </c>
      <c r="J45" s="270">
        <f>'7 Passivhusnivå'!G29</f>
        <v>0.13</v>
      </c>
      <c r="K45" s="243">
        <f>'6 Oversikt startpunkt'!F45</f>
        <v>0.35</v>
      </c>
      <c r="L45" s="312">
        <f>'7 Passivhusnivå'!H29</f>
        <v>0.13</v>
      </c>
      <c r="M45" s="271">
        <f>'6 Oversikt startpunkt'!G45</f>
        <v>0.35</v>
      </c>
      <c r="N45" s="270">
        <f>'7 Passivhusnivå'!I29</f>
        <v>0.13</v>
      </c>
      <c r="O45" s="243">
        <f>'6 Oversikt startpunkt'!H45</f>
        <v>0.35</v>
      </c>
      <c r="P45" s="312">
        <f>'7 Passivhusnivå'!J29</f>
        <v>0.13</v>
      </c>
      <c r="Q45" s="271">
        <f>'6 Oversikt startpunkt'!I45</f>
        <v>0.3</v>
      </c>
      <c r="R45" s="270">
        <f>'7 Passivhusnivå'!K29</f>
        <v>0.13</v>
      </c>
      <c r="S45" s="243">
        <f>'6 Oversikt startpunkt'!J45</f>
        <v>0.35</v>
      </c>
      <c r="T45" s="312">
        <f>'7 Passivhusnivå'!L29</f>
        <v>0.1</v>
      </c>
      <c r="U45" s="271">
        <f>'6 Oversikt startpunkt'!K45</f>
        <v>0.57999999999999996</v>
      </c>
      <c r="V45" s="270">
        <f>'7 Passivhusnivå'!M29</f>
        <v>0.08</v>
      </c>
      <c r="W45" s="243">
        <f>'6 Oversikt startpunkt'!L45</f>
        <v>0.35</v>
      </c>
      <c r="X45" s="312">
        <f>'7 Passivhusnivå'!N29</f>
        <v>0.13</v>
      </c>
      <c r="Y45" s="243">
        <f>'6 Oversikt startpunkt'!M45</f>
        <v>0.35</v>
      </c>
      <c r="Z45" s="312">
        <f>'7 Passivhusnivå'!O29</f>
        <v>0.13</v>
      </c>
    </row>
    <row r="46" spans="1:26" s="216" customFormat="1" x14ac:dyDescent="0.2">
      <c r="A46" s="699"/>
      <c r="B46" s="288" t="s">
        <v>490</v>
      </c>
      <c r="C46" s="289" t="s">
        <v>372</v>
      </c>
      <c r="D46" s="290" t="s">
        <v>397</v>
      </c>
      <c r="E46" s="289" t="s">
        <v>372</v>
      </c>
      <c r="F46" s="291" t="s">
        <v>397</v>
      </c>
      <c r="G46" s="292" t="s">
        <v>372</v>
      </c>
      <c r="H46" s="290" t="s">
        <v>397</v>
      </c>
      <c r="I46" s="289" t="s">
        <v>372</v>
      </c>
      <c r="J46" s="291" t="s">
        <v>397</v>
      </c>
      <c r="K46" s="292" t="s">
        <v>372</v>
      </c>
      <c r="L46" s="290" t="s">
        <v>397</v>
      </c>
      <c r="M46" s="289" t="s">
        <v>372</v>
      </c>
      <c r="N46" s="290" t="s">
        <v>397</v>
      </c>
      <c r="O46" s="289" t="s">
        <v>372</v>
      </c>
      <c r="P46" s="290" t="s">
        <v>397</v>
      </c>
      <c r="Q46" s="289" t="s">
        <v>372</v>
      </c>
      <c r="R46" s="290" t="s">
        <v>397</v>
      </c>
      <c r="S46" s="289" t="s">
        <v>372</v>
      </c>
      <c r="T46" s="290" t="s">
        <v>397</v>
      </c>
      <c r="U46" s="289" t="s">
        <v>372</v>
      </c>
      <c r="V46" s="290" t="s">
        <v>397</v>
      </c>
      <c r="W46" s="289" t="s">
        <v>372</v>
      </c>
      <c r="X46" s="290" t="s">
        <v>397</v>
      </c>
      <c r="Y46" s="289" t="s">
        <v>372</v>
      </c>
      <c r="Z46" s="291" t="s">
        <v>397</v>
      </c>
    </row>
    <row r="47" spans="1:26" x14ac:dyDescent="0.2">
      <c r="A47" s="699"/>
      <c r="B47" s="272" t="s">
        <v>373</v>
      </c>
      <c r="C47" s="230">
        <v>28179</v>
      </c>
      <c r="D47" s="231">
        <v>176.1</v>
      </c>
      <c r="E47" s="230">
        <v>146533</v>
      </c>
      <c r="F47" s="273">
        <v>162.80000000000001</v>
      </c>
      <c r="G47" s="285">
        <v>42361</v>
      </c>
      <c r="H47" s="231">
        <v>141.19999999999999</v>
      </c>
      <c r="I47" s="230">
        <v>328072</v>
      </c>
      <c r="J47" s="273">
        <v>91.1</v>
      </c>
      <c r="K47" s="285">
        <v>262221</v>
      </c>
      <c r="L47" s="231">
        <v>109.3</v>
      </c>
      <c r="M47" s="230">
        <v>356354</v>
      </c>
      <c r="N47" s="231">
        <v>99</v>
      </c>
      <c r="O47" s="230">
        <v>530895</v>
      </c>
      <c r="P47" s="231">
        <v>147.5</v>
      </c>
      <c r="Q47" s="230">
        <v>248817</v>
      </c>
      <c r="R47" s="231">
        <v>103.7</v>
      </c>
      <c r="S47" s="230">
        <v>325693</v>
      </c>
      <c r="T47" s="231">
        <v>135.69999999999999</v>
      </c>
      <c r="U47" s="230">
        <v>507057</v>
      </c>
      <c r="V47" s="231">
        <v>158.5</v>
      </c>
      <c r="W47" s="230">
        <v>417484</v>
      </c>
      <c r="X47" s="231">
        <v>116</v>
      </c>
      <c r="Y47" s="230">
        <v>345297</v>
      </c>
      <c r="Z47" s="273">
        <v>143.9</v>
      </c>
    </row>
    <row r="48" spans="1:26" x14ac:dyDescent="0.2">
      <c r="A48" s="699"/>
      <c r="B48" s="272" t="s">
        <v>374</v>
      </c>
      <c r="C48" s="230">
        <v>0</v>
      </c>
      <c r="D48" s="231">
        <v>0</v>
      </c>
      <c r="E48" s="230">
        <v>0</v>
      </c>
      <c r="F48" s="273">
        <v>0</v>
      </c>
      <c r="G48" s="285">
        <v>8741</v>
      </c>
      <c r="H48" s="231">
        <v>29.1</v>
      </c>
      <c r="I48" s="230">
        <v>104795</v>
      </c>
      <c r="J48" s="273">
        <v>29.1</v>
      </c>
      <c r="K48" s="285">
        <v>88035</v>
      </c>
      <c r="L48" s="231">
        <v>36.700000000000003</v>
      </c>
      <c r="M48" s="230">
        <v>136770</v>
      </c>
      <c r="N48" s="231">
        <v>38</v>
      </c>
      <c r="O48" s="230">
        <v>343374</v>
      </c>
      <c r="P48" s="231">
        <v>95.4</v>
      </c>
      <c r="Q48" s="230">
        <v>206811</v>
      </c>
      <c r="R48" s="231">
        <v>86.2</v>
      </c>
      <c r="S48" s="230">
        <v>130086</v>
      </c>
      <c r="T48" s="231">
        <v>54.2</v>
      </c>
      <c r="U48" s="230">
        <v>137083</v>
      </c>
      <c r="V48" s="231">
        <v>42.8</v>
      </c>
      <c r="W48" s="230">
        <v>239717</v>
      </c>
      <c r="X48" s="231">
        <v>66.599999999999994</v>
      </c>
      <c r="Y48" s="230">
        <v>73881</v>
      </c>
      <c r="Z48" s="273">
        <v>30.8</v>
      </c>
    </row>
    <row r="49" spans="1:26" x14ac:dyDescent="0.2">
      <c r="A49" s="699"/>
      <c r="B49" s="272" t="s">
        <v>375</v>
      </c>
      <c r="C49" s="230">
        <v>4765</v>
      </c>
      <c r="D49" s="231">
        <v>29.8</v>
      </c>
      <c r="E49" s="230">
        <v>26792</v>
      </c>
      <c r="F49" s="273">
        <v>29.8</v>
      </c>
      <c r="G49" s="285">
        <v>3007</v>
      </c>
      <c r="H49" s="231">
        <v>10</v>
      </c>
      <c r="I49" s="230">
        <v>18040</v>
      </c>
      <c r="J49" s="273">
        <v>5</v>
      </c>
      <c r="K49" s="285">
        <v>23530</v>
      </c>
      <c r="L49" s="231">
        <v>9.8000000000000007</v>
      </c>
      <c r="M49" s="230">
        <v>18040</v>
      </c>
      <c r="N49" s="231">
        <v>5</v>
      </c>
      <c r="O49" s="230">
        <v>107170</v>
      </c>
      <c r="P49" s="231">
        <v>29.8</v>
      </c>
      <c r="Q49" s="230">
        <v>71482</v>
      </c>
      <c r="R49" s="231">
        <v>29.8</v>
      </c>
      <c r="S49" s="230">
        <v>71482</v>
      </c>
      <c r="T49" s="231">
        <v>29.8</v>
      </c>
      <c r="U49" s="230">
        <v>156864</v>
      </c>
      <c r="V49" s="231">
        <v>49</v>
      </c>
      <c r="W49" s="230">
        <v>36408</v>
      </c>
      <c r="X49" s="231">
        <v>10.1</v>
      </c>
      <c r="Y49" s="230">
        <v>24054</v>
      </c>
      <c r="Z49" s="273">
        <v>10</v>
      </c>
    </row>
    <row r="50" spans="1:26" x14ac:dyDescent="0.2">
      <c r="A50" s="699"/>
      <c r="B50" s="272" t="s">
        <v>376</v>
      </c>
      <c r="C50" s="230">
        <v>0</v>
      </c>
      <c r="D50" s="231">
        <v>0</v>
      </c>
      <c r="E50" s="230">
        <v>0</v>
      </c>
      <c r="F50" s="273">
        <v>0</v>
      </c>
      <c r="G50" s="285">
        <v>10505</v>
      </c>
      <c r="H50" s="231">
        <v>35</v>
      </c>
      <c r="I50" s="230">
        <v>123343</v>
      </c>
      <c r="J50" s="273">
        <v>34.299999999999997</v>
      </c>
      <c r="K50" s="285">
        <v>92310</v>
      </c>
      <c r="L50" s="231">
        <v>38.5</v>
      </c>
      <c r="M50" s="230">
        <v>160332</v>
      </c>
      <c r="N50" s="231">
        <v>44.5</v>
      </c>
      <c r="O50" s="230">
        <v>369461</v>
      </c>
      <c r="P50" s="231">
        <v>102.6</v>
      </c>
      <c r="Q50" s="230">
        <v>216212</v>
      </c>
      <c r="R50" s="231">
        <v>90.1</v>
      </c>
      <c r="S50" s="230">
        <v>149037</v>
      </c>
      <c r="T50" s="231">
        <v>62.1</v>
      </c>
      <c r="U50" s="230">
        <v>108368</v>
      </c>
      <c r="V50" s="231">
        <v>33.9</v>
      </c>
      <c r="W50" s="230">
        <v>294892</v>
      </c>
      <c r="X50" s="231">
        <v>81.900000000000006</v>
      </c>
      <c r="Y50" s="230">
        <v>91350</v>
      </c>
      <c r="Z50" s="273">
        <v>38.1</v>
      </c>
    </row>
    <row r="51" spans="1:26" x14ac:dyDescent="0.2">
      <c r="A51" s="699"/>
      <c r="B51" s="272" t="s">
        <v>377</v>
      </c>
      <c r="C51" s="230">
        <v>181</v>
      </c>
      <c r="D51" s="231">
        <v>1.1000000000000001</v>
      </c>
      <c r="E51" s="230">
        <v>930</v>
      </c>
      <c r="F51" s="273">
        <v>1</v>
      </c>
      <c r="G51" s="285">
        <v>495</v>
      </c>
      <c r="H51" s="231">
        <v>1.6</v>
      </c>
      <c r="I51" s="230">
        <v>11231</v>
      </c>
      <c r="J51" s="273">
        <v>3.1</v>
      </c>
      <c r="K51" s="285">
        <v>4290</v>
      </c>
      <c r="L51" s="231">
        <v>1.8</v>
      </c>
      <c r="M51" s="230">
        <v>12905</v>
      </c>
      <c r="N51" s="231">
        <v>3.6</v>
      </c>
      <c r="O51" s="230">
        <v>16012</v>
      </c>
      <c r="P51" s="231">
        <v>4.4000000000000004</v>
      </c>
      <c r="Q51" s="230">
        <v>3566</v>
      </c>
      <c r="R51" s="231">
        <v>1.5</v>
      </c>
      <c r="S51" s="230">
        <v>13011</v>
      </c>
      <c r="T51" s="231">
        <v>5.4</v>
      </c>
      <c r="U51" s="230">
        <v>5855</v>
      </c>
      <c r="V51" s="231">
        <v>1.8</v>
      </c>
      <c r="W51" s="230">
        <v>17717</v>
      </c>
      <c r="X51" s="231">
        <v>4.9000000000000004</v>
      </c>
      <c r="Y51" s="230">
        <v>8272</v>
      </c>
      <c r="Z51" s="273">
        <v>3.4</v>
      </c>
    </row>
    <row r="52" spans="1:26" x14ac:dyDescent="0.2">
      <c r="A52" s="699"/>
      <c r="B52" s="272" t="s">
        <v>378</v>
      </c>
      <c r="C52" s="230">
        <v>1993</v>
      </c>
      <c r="D52" s="231">
        <v>12.5</v>
      </c>
      <c r="E52" s="230">
        <v>11214</v>
      </c>
      <c r="F52" s="273">
        <v>12.5</v>
      </c>
      <c r="G52" s="285">
        <v>10805</v>
      </c>
      <c r="H52" s="231">
        <v>36</v>
      </c>
      <c r="I52" s="230">
        <v>152215</v>
      </c>
      <c r="J52" s="273">
        <v>42.3</v>
      </c>
      <c r="K52" s="285">
        <v>89010</v>
      </c>
      <c r="L52" s="231">
        <v>37.1</v>
      </c>
      <c r="M52" s="230">
        <v>152215</v>
      </c>
      <c r="N52" s="231">
        <v>42.3</v>
      </c>
      <c r="O52" s="230">
        <v>275951</v>
      </c>
      <c r="P52" s="231">
        <v>76.7</v>
      </c>
      <c r="Q52" s="230">
        <v>183960</v>
      </c>
      <c r="R52" s="231">
        <v>76.7</v>
      </c>
      <c r="S52" s="230">
        <v>183960</v>
      </c>
      <c r="T52" s="231">
        <v>76.7</v>
      </c>
      <c r="U52" s="230">
        <v>111456</v>
      </c>
      <c r="V52" s="231">
        <v>34.799999999999997</v>
      </c>
      <c r="W52" s="230">
        <v>341223</v>
      </c>
      <c r="X52" s="231">
        <v>94.8</v>
      </c>
      <c r="Y52" s="230">
        <v>93960</v>
      </c>
      <c r="Z52" s="273">
        <v>39.1</v>
      </c>
    </row>
    <row r="53" spans="1:26" x14ac:dyDescent="0.2">
      <c r="A53" s="699"/>
      <c r="B53" s="272" t="s">
        <v>379</v>
      </c>
      <c r="C53" s="230">
        <v>3066</v>
      </c>
      <c r="D53" s="231">
        <v>19.2</v>
      </c>
      <c r="E53" s="230">
        <v>17247</v>
      </c>
      <c r="F53" s="273">
        <v>19.2</v>
      </c>
      <c r="G53" s="285">
        <v>1801</v>
      </c>
      <c r="H53" s="231">
        <v>6</v>
      </c>
      <c r="I53" s="230">
        <v>139560</v>
      </c>
      <c r="J53" s="273">
        <v>38.799999999999997</v>
      </c>
      <c r="K53" s="285">
        <v>35604</v>
      </c>
      <c r="L53" s="231">
        <v>14.8</v>
      </c>
      <c r="M53" s="230">
        <v>139560</v>
      </c>
      <c r="N53" s="231">
        <v>38.799999999999997</v>
      </c>
      <c r="O53" s="230">
        <v>183960</v>
      </c>
      <c r="P53" s="231">
        <v>51.1</v>
      </c>
      <c r="Q53" s="230">
        <v>61320</v>
      </c>
      <c r="R53" s="231">
        <v>25.6</v>
      </c>
      <c r="S53" s="230">
        <v>15330</v>
      </c>
      <c r="T53" s="231">
        <v>6.4</v>
      </c>
      <c r="U53" s="230">
        <v>9288</v>
      </c>
      <c r="V53" s="231">
        <v>2.9</v>
      </c>
      <c r="W53" s="230">
        <v>15163</v>
      </c>
      <c r="X53" s="231">
        <v>4.2</v>
      </c>
      <c r="Y53" s="230">
        <v>7830</v>
      </c>
      <c r="Z53" s="273">
        <v>3.3</v>
      </c>
    </row>
    <row r="54" spans="1:26" x14ac:dyDescent="0.2">
      <c r="A54" s="699"/>
      <c r="B54" s="272" t="s">
        <v>380</v>
      </c>
      <c r="C54" s="230">
        <v>0</v>
      </c>
      <c r="D54" s="231">
        <v>0</v>
      </c>
      <c r="E54" s="235">
        <v>0</v>
      </c>
      <c r="F54" s="273">
        <v>0</v>
      </c>
      <c r="G54" s="285">
        <v>0</v>
      </c>
      <c r="H54" s="231">
        <v>0</v>
      </c>
      <c r="I54" s="230">
        <v>0</v>
      </c>
      <c r="J54" s="273">
        <v>0</v>
      </c>
      <c r="K54" s="285">
        <v>0</v>
      </c>
      <c r="L54" s="231">
        <v>0</v>
      </c>
      <c r="M54" s="230">
        <v>0</v>
      </c>
      <c r="N54" s="231">
        <v>0</v>
      </c>
      <c r="O54" s="230">
        <v>0</v>
      </c>
      <c r="P54" s="231">
        <v>0</v>
      </c>
      <c r="Q54" s="230">
        <v>0</v>
      </c>
      <c r="R54" s="231">
        <v>0</v>
      </c>
      <c r="S54" s="230">
        <v>0</v>
      </c>
      <c r="T54" s="231">
        <v>0</v>
      </c>
      <c r="U54" s="230">
        <v>0</v>
      </c>
      <c r="V54" s="231">
        <v>0</v>
      </c>
      <c r="W54" s="230">
        <v>0</v>
      </c>
      <c r="X54" s="231">
        <v>0</v>
      </c>
      <c r="Y54" s="230">
        <v>0</v>
      </c>
      <c r="Z54" s="273">
        <v>0</v>
      </c>
    </row>
    <row r="55" spans="1:26" x14ac:dyDescent="0.2">
      <c r="A55" s="699"/>
      <c r="B55" s="272" t="s">
        <v>381</v>
      </c>
      <c r="C55" s="230">
        <v>0</v>
      </c>
      <c r="D55" s="231">
        <v>0</v>
      </c>
      <c r="E55" s="235">
        <v>0</v>
      </c>
      <c r="F55" s="273">
        <v>0</v>
      </c>
      <c r="G55" s="285">
        <v>0</v>
      </c>
      <c r="H55" s="231">
        <v>0</v>
      </c>
      <c r="I55" s="230">
        <v>73966</v>
      </c>
      <c r="J55" s="273">
        <v>20.5</v>
      </c>
      <c r="K55" s="285">
        <v>0</v>
      </c>
      <c r="L55" s="231">
        <v>0</v>
      </c>
      <c r="M55" s="230">
        <v>94347</v>
      </c>
      <c r="N55" s="231">
        <v>26.2</v>
      </c>
      <c r="O55" s="230">
        <v>188740</v>
      </c>
      <c r="P55" s="231">
        <v>52.4</v>
      </c>
      <c r="Q55" s="230">
        <v>0</v>
      </c>
      <c r="R55" s="231">
        <v>0</v>
      </c>
      <c r="S55" s="230">
        <v>85693</v>
      </c>
      <c r="T55" s="231">
        <v>35.700000000000003</v>
      </c>
      <c r="U55" s="230">
        <v>0</v>
      </c>
      <c r="V55" s="231">
        <v>0</v>
      </c>
      <c r="W55" s="230">
        <v>189046</v>
      </c>
      <c r="X55" s="231">
        <v>52.5</v>
      </c>
      <c r="Y55" s="230">
        <v>61993</v>
      </c>
      <c r="Z55" s="273">
        <v>25.8</v>
      </c>
    </row>
    <row r="56" spans="1:26" s="20" customFormat="1" x14ac:dyDescent="0.2">
      <c r="A56" s="699"/>
      <c r="B56" s="274" t="s">
        <v>382</v>
      </c>
      <c r="C56" s="275">
        <v>38184</v>
      </c>
      <c r="D56" s="276">
        <v>238.7</v>
      </c>
      <c r="E56" s="277">
        <v>202717</v>
      </c>
      <c r="F56" s="287">
        <v>225.2</v>
      </c>
      <c r="G56" s="286">
        <v>77716</v>
      </c>
      <c r="H56" s="276">
        <v>259.10000000000002</v>
      </c>
      <c r="I56" s="275">
        <v>951222</v>
      </c>
      <c r="J56" s="279">
        <v>264.2</v>
      </c>
      <c r="K56" s="286">
        <v>595000</v>
      </c>
      <c r="L56" s="276">
        <v>247.9</v>
      </c>
      <c r="M56" s="275">
        <v>1070524</v>
      </c>
      <c r="N56" s="276">
        <v>297.39999999999998</v>
      </c>
      <c r="O56" s="275">
        <v>2015563</v>
      </c>
      <c r="P56" s="276">
        <v>559.9</v>
      </c>
      <c r="Q56" s="275">
        <v>992167</v>
      </c>
      <c r="R56" s="276">
        <v>413.4</v>
      </c>
      <c r="S56" s="275">
        <v>974293</v>
      </c>
      <c r="T56" s="276">
        <v>406</v>
      </c>
      <c r="U56" s="275">
        <v>1035971</v>
      </c>
      <c r="V56" s="276">
        <v>323.7</v>
      </c>
      <c r="W56" s="275">
        <v>1551651</v>
      </c>
      <c r="X56" s="276">
        <v>431</v>
      </c>
      <c r="Y56" s="275">
        <v>706637</v>
      </c>
      <c r="Z56" s="279">
        <v>294.39999999999998</v>
      </c>
    </row>
    <row r="57" spans="1:26" s="216" customFormat="1" x14ac:dyDescent="0.2">
      <c r="A57" s="699"/>
      <c r="B57" s="283" t="s">
        <v>491</v>
      </c>
      <c r="C57" s="289" t="s">
        <v>372</v>
      </c>
      <c r="D57" s="291" t="s">
        <v>397</v>
      </c>
      <c r="E57" s="289" t="s">
        <v>372</v>
      </c>
      <c r="F57" s="291" t="s">
        <v>397</v>
      </c>
      <c r="G57" s="289" t="s">
        <v>372</v>
      </c>
      <c r="H57" s="291" t="s">
        <v>397</v>
      </c>
      <c r="I57" s="289" t="s">
        <v>372</v>
      </c>
      <c r="J57" s="291" t="s">
        <v>397</v>
      </c>
      <c r="K57" s="289" t="s">
        <v>372</v>
      </c>
      <c r="L57" s="291" t="s">
        <v>397</v>
      </c>
      <c r="M57" s="289" t="s">
        <v>372</v>
      </c>
      <c r="N57" s="291" t="s">
        <v>397</v>
      </c>
      <c r="O57" s="289" t="s">
        <v>372</v>
      </c>
      <c r="P57" s="291" t="s">
        <v>397</v>
      </c>
      <c r="Q57" s="289" t="s">
        <v>372</v>
      </c>
      <c r="R57" s="291" t="s">
        <v>397</v>
      </c>
      <c r="S57" s="289" t="s">
        <v>372</v>
      </c>
      <c r="T57" s="291" t="s">
        <v>397</v>
      </c>
      <c r="U57" s="289" t="s">
        <v>372</v>
      </c>
      <c r="V57" s="291" t="s">
        <v>397</v>
      </c>
      <c r="W57" s="289" t="s">
        <v>372</v>
      </c>
      <c r="X57" s="291" t="s">
        <v>397</v>
      </c>
      <c r="Y57" s="289" t="s">
        <v>372</v>
      </c>
      <c r="Z57" s="291" t="s">
        <v>397</v>
      </c>
    </row>
    <row r="58" spans="1:26" x14ac:dyDescent="0.2">
      <c r="A58" s="699"/>
      <c r="B58" s="272" t="s">
        <v>373</v>
      </c>
      <c r="C58" s="230">
        <f>C$6-C47</f>
        <v>2507</v>
      </c>
      <c r="D58" s="293">
        <f t="shared" ref="D58:Z58" si="10">D$6-D47</f>
        <v>15.700000000000017</v>
      </c>
      <c r="E58" s="230">
        <f t="shared" si="10"/>
        <v>9084</v>
      </c>
      <c r="F58" s="293">
        <f t="shared" si="10"/>
        <v>10.099999999999994</v>
      </c>
      <c r="G58" s="230">
        <f t="shared" si="10"/>
        <v>7452</v>
      </c>
      <c r="H58" s="293">
        <f t="shared" si="10"/>
        <v>24.800000000000011</v>
      </c>
      <c r="I58" s="230">
        <f t="shared" si="10"/>
        <v>33940</v>
      </c>
      <c r="J58" s="293">
        <f t="shared" si="10"/>
        <v>9.5</v>
      </c>
      <c r="K58" s="230">
        <f t="shared" si="10"/>
        <v>33629</v>
      </c>
      <c r="L58" s="293">
        <f t="shared" si="10"/>
        <v>14</v>
      </c>
      <c r="M58" s="230">
        <f t="shared" si="10"/>
        <v>35594</v>
      </c>
      <c r="N58" s="293">
        <f t="shared" si="10"/>
        <v>9.9000000000000057</v>
      </c>
      <c r="O58" s="230">
        <f t="shared" si="10"/>
        <v>38957</v>
      </c>
      <c r="P58" s="293">
        <f t="shared" si="10"/>
        <v>10.800000000000011</v>
      </c>
      <c r="Q58" s="230">
        <f t="shared" si="10"/>
        <v>27299</v>
      </c>
      <c r="R58" s="293">
        <f t="shared" si="10"/>
        <v>11.299999999999997</v>
      </c>
      <c r="S58" s="230">
        <f t="shared" si="10"/>
        <v>41644</v>
      </c>
      <c r="T58" s="293">
        <f t="shared" si="10"/>
        <v>17.400000000000006</v>
      </c>
      <c r="U58" s="230">
        <f t="shared" si="10"/>
        <v>177241</v>
      </c>
      <c r="V58" s="293">
        <f t="shared" si="10"/>
        <v>55.300000000000011</v>
      </c>
      <c r="W58" s="230">
        <f t="shared" si="10"/>
        <v>37965</v>
      </c>
      <c r="X58" s="293">
        <f t="shared" si="10"/>
        <v>10.5</v>
      </c>
      <c r="Y58" s="230">
        <f t="shared" si="10"/>
        <v>37031</v>
      </c>
      <c r="Z58" s="293">
        <f t="shared" si="10"/>
        <v>15.400000000000006</v>
      </c>
    </row>
    <row r="59" spans="1:26" x14ac:dyDescent="0.2">
      <c r="A59" s="699"/>
      <c r="B59" s="272" t="s">
        <v>374</v>
      </c>
      <c r="C59" s="230">
        <f t="shared" ref="C59:Z59" si="11">C$7-C48</f>
        <v>0</v>
      </c>
      <c r="D59" s="293">
        <f t="shared" si="11"/>
        <v>0</v>
      </c>
      <c r="E59" s="230">
        <f t="shared" si="11"/>
        <v>0</v>
      </c>
      <c r="F59" s="293">
        <f t="shared" si="11"/>
        <v>0</v>
      </c>
      <c r="G59" s="230">
        <f t="shared" si="11"/>
        <v>40</v>
      </c>
      <c r="H59" s="293">
        <f t="shared" si="11"/>
        <v>0.19999999999999929</v>
      </c>
      <c r="I59" s="230">
        <f t="shared" si="11"/>
        <v>253</v>
      </c>
      <c r="J59" s="293">
        <f t="shared" si="11"/>
        <v>9.9999999999997868E-2</v>
      </c>
      <c r="K59" s="230">
        <f t="shared" si="11"/>
        <v>120</v>
      </c>
      <c r="L59" s="293">
        <f t="shared" si="11"/>
        <v>0</v>
      </c>
      <c r="M59" s="230">
        <f t="shared" si="11"/>
        <v>185</v>
      </c>
      <c r="N59" s="293">
        <f t="shared" si="11"/>
        <v>0</v>
      </c>
      <c r="O59" s="230">
        <f t="shared" si="11"/>
        <v>30</v>
      </c>
      <c r="P59" s="293">
        <f t="shared" si="11"/>
        <v>0</v>
      </c>
      <c r="Q59" s="230">
        <f t="shared" si="11"/>
        <v>80</v>
      </c>
      <c r="R59" s="293">
        <f t="shared" si="11"/>
        <v>0</v>
      </c>
      <c r="S59" s="230">
        <f t="shared" si="11"/>
        <v>6</v>
      </c>
      <c r="T59" s="293">
        <f t="shared" si="11"/>
        <v>0</v>
      </c>
      <c r="U59" s="230">
        <f t="shared" si="11"/>
        <v>905</v>
      </c>
      <c r="V59" s="293">
        <f t="shared" si="11"/>
        <v>0.30000000000000426</v>
      </c>
      <c r="W59" s="230">
        <f t="shared" si="11"/>
        <v>93</v>
      </c>
      <c r="X59" s="293">
        <f t="shared" si="11"/>
        <v>0</v>
      </c>
      <c r="Y59" s="230">
        <f t="shared" si="11"/>
        <v>4</v>
      </c>
      <c r="Z59" s="293">
        <f t="shared" si="11"/>
        <v>0</v>
      </c>
    </row>
    <row r="60" spans="1:26" x14ac:dyDescent="0.2">
      <c r="A60" s="699"/>
      <c r="B60" s="272" t="s">
        <v>375</v>
      </c>
      <c r="C60" s="230">
        <f>C$8-C49</f>
        <v>0</v>
      </c>
      <c r="D60" s="293">
        <f t="shared" ref="D60:Z60" si="12">D$8-D49</f>
        <v>0</v>
      </c>
      <c r="E60" s="230">
        <f t="shared" si="12"/>
        <v>0</v>
      </c>
      <c r="F60" s="293">
        <f t="shared" si="12"/>
        <v>0</v>
      </c>
      <c r="G60" s="230">
        <f t="shared" si="12"/>
        <v>0</v>
      </c>
      <c r="H60" s="293">
        <f t="shared" si="12"/>
        <v>0</v>
      </c>
      <c r="I60" s="230">
        <f t="shared" si="12"/>
        <v>0</v>
      </c>
      <c r="J60" s="293">
        <f t="shared" si="12"/>
        <v>0</v>
      </c>
      <c r="K60" s="230">
        <f t="shared" si="12"/>
        <v>0</v>
      </c>
      <c r="L60" s="293">
        <f t="shared" si="12"/>
        <v>0</v>
      </c>
      <c r="M60" s="230">
        <f t="shared" si="12"/>
        <v>0</v>
      </c>
      <c r="N60" s="293">
        <f t="shared" si="12"/>
        <v>0</v>
      </c>
      <c r="O60" s="230">
        <f t="shared" si="12"/>
        <v>0</v>
      </c>
      <c r="P60" s="293">
        <f t="shared" si="12"/>
        <v>0</v>
      </c>
      <c r="Q60" s="230">
        <f t="shared" si="12"/>
        <v>0</v>
      </c>
      <c r="R60" s="293">
        <f t="shared" si="12"/>
        <v>0</v>
      </c>
      <c r="S60" s="230">
        <f t="shared" si="12"/>
        <v>0</v>
      </c>
      <c r="T60" s="293">
        <f t="shared" si="12"/>
        <v>0</v>
      </c>
      <c r="U60" s="230">
        <f t="shared" si="12"/>
        <v>0</v>
      </c>
      <c r="V60" s="293">
        <f t="shared" si="12"/>
        <v>0</v>
      </c>
      <c r="W60" s="230">
        <f t="shared" si="12"/>
        <v>0</v>
      </c>
      <c r="X60" s="293">
        <f t="shared" si="12"/>
        <v>0</v>
      </c>
      <c r="Y60" s="230">
        <f t="shared" si="12"/>
        <v>0</v>
      </c>
      <c r="Z60" s="293">
        <f t="shared" si="12"/>
        <v>0</v>
      </c>
    </row>
    <row r="61" spans="1:26" x14ac:dyDescent="0.2">
      <c r="A61" s="699"/>
      <c r="B61" s="272" t="s">
        <v>376</v>
      </c>
      <c r="C61" s="230">
        <f t="shared" ref="C61:Z61" si="13">C$9-C50</f>
        <v>0</v>
      </c>
      <c r="D61" s="293">
        <f t="shared" si="13"/>
        <v>0</v>
      </c>
      <c r="E61" s="230">
        <f t="shared" si="13"/>
        <v>0</v>
      </c>
      <c r="F61" s="293">
        <f t="shared" si="13"/>
        <v>0</v>
      </c>
      <c r="G61" s="230">
        <f t="shared" si="13"/>
        <v>0</v>
      </c>
      <c r="H61" s="293">
        <f t="shared" si="13"/>
        <v>0</v>
      </c>
      <c r="I61" s="230">
        <f t="shared" si="13"/>
        <v>0</v>
      </c>
      <c r="J61" s="293">
        <f t="shared" si="13"/>
        <v>0</v>
      </c>
      <c r="K61" s="230">
        <f t="shared" si="13"/>
        <v>0</v>
      </c>
      <c r="L61" s="293">
        <f t="shared" si="13"/>
        <v>0</v>
      </c>
      <c r="M61" s="230">
        <f t="shared" si="13"/>
        <v>0</v>
      </c>
      <c r="N61" s="293">
        <f t="shared" si="13"/>
        <v>0</v>
      </c>
      <c r="O61" s="230">
        <f t="shared" si="13"/>
        <v>0</v>
      </c>
      <c r="P61" s="293">
        <f t="shared" si="13"/>
        <v>0</v>
      </c>
      <c r="Q61" s="230">
        <f t="shared" si="13"/>
        <v>0</v>
      </c>
      <c r="R61" s="293">
        <f t="shared" si="13"/>
        <v>0</v>
      </c>
      <c r="S61" s="230">
        <f t="shared" si="13"/>
        <v>0</v>
      </c>
      <c r="T61" s="293">
        <f t="shared" si="13"/>
        <v>0</v>
      </c>
      <c r="U61" s="230">
        <f t="shared" si="13"/>
        <v>0</v>
      </c>
      <c r="V61" s="293">
        <f t="shared" si="13"/>
        <v>0</v>
      </c>
      <c r="W61" s="230">
        <f t="shared" si="13"/>
        <v>0</v>
      </c>
      <c r="X61" s="293">
        <f t="shared" si="13"/>
        <v>0</v>
      </c>
      <c r="Y61" s="230">
        <f t="shared" si="13"/>
        <v>0</v>
      </c>
      <c r="Z61" s="293">
        <f t="shared" si="13"/>
        <v>0</v>
      </c>
    </row>
    <row r="62" spans="1:26" x14ac:dyDescent="0.2">
      <c r="A62" s="699"/>
      <c r="B62" s="272" t="s">
        <v>377</v>
      </c>
      <c r="C62" s="230">
        <f t="shared" ref="C62:Z62" si="14">C$10-C51</f>
        <v>12</v>
      </c>
      <c r="D62" s="293">
        <f t="shared" si="14"/>
        <v>9.9999999999999867E-2</v>
      </c>
      <c r="E62" s="230">
        <f t="shared" si="14"/>
        <v>36</v>
      </c>
      <c r="F62" s="293">
        <f t="shared" si="14"/>
        <v>0.10000000000000009</v>
      </c>
      <c r="G62" s="230">
        <f t="shared" si="14"/>
        <v>36</v>
      </c>
      <c r="H62" s="293">
        <f t="shared" si="14"/>
        <v>0.19999999999999996</v>
      </c>
      <c r="I62" s="230">
        <f t="shared" si="14"/>
        <v>141</v>
      </c>
      <c r="J62" s="293">
        <f t="shared" si="14"/>
        <v>0.10000000000000009</v>
      </c>
      <c r="K62" s="230">
        <f t="shared" si="14"/>
        <v>133</v>
      </c>
      <c r="L62" s="293">
        <f t="shared" si="14"/>
        <v>0</v>
      </c>
      <c r="M62" s="230">
        <f t="shared" si="14"/>
        <v>141</v>
      </c>
      <c r="N62" s="293">
        <f t="shared" si="14"/>
        <v>0</v>
      </c>
      <c r="O62" s="230">
        <f t="shared" si="14"/>
        <v>141</v>
      </c>
      <c r="P62" s="293">
        <f t="shared" si="14"/>
        <v>9.9999999999999645E-2</v>
      </c>
      <c r="Q62" s="230">
        <f t="shared" si="14"/>
        <v>109</v>
      </c>
      <c r="R62" s="293">
        <f t="shared" si="14"/>
        <v>0</v>
      </c>
      <c r="S62" s="230">
        <f t="shared" si="14"/>
        <v>153</v>
      </c>
      <c r="T62" s="293">
        <f t="shared" si="14"/>
        <v>9.9999999999999645E-2</v>
      </c>
      <c r="U62" s="230">
        <f t="shared" si="14"/>
        <v>773</v>
      </c>
      <c r="V62" s="293">
        <f t="shared" si="14"/>
        <v>0.30000000000000004</v>
      </c>
      <c r="W62" s="230">
        <f t="shared" si="14"/>
        <v>146</v>
      </c>
      <c r="X62" s="293">
        <f t="shared" si="14"/>
        <v>9.9999999999999645E-2</v>
      </c>
      <c r="Y62" s="230">
        <f t="shared" si="14"/>
        <v>137</v>
      </c>
      <c r="Z62" s="293">
        <f t="shared" si="14"/>
        <v>0.10000000000000009</v>
      </c>
    </row>
    <row r="63" spans="1:26" x14ac:dyDescent="0.2">
      <c r="A63" s="699"/>
      <c r="B63" s="272" t="s">
        <v>378</v>
      </c>
      <c r="C63" s="230">
        <f t="shared" ref="C63:Z63" si="15">C$11-C52</f>
        <v>0</v>
      </c>
      <c r="D63" s="293">
        <f t="shared" si="15"/>
        <v>0</v>
      </c>
      <c r="E63" s="230">
        <f t="shared" si="15"/>
        <v>0</v>
      </c>
      <c r="F63" s="293">
        <f t="shared" si="15"/>
        <v>0</v>
      </c>
      <c r="G63" s="230">
        <f t="shared" si="15"/>
        <v>0</v>
      </c>
      <c r="H63" s="293">
        <f t="shared" si="15"/>
        <v>0</v>
      </c>
      <c r="I63" s="230">
        <f t="shared" si="15"/>
        <v>0</v>
      </c>
      <c r="J63" s="293">
        <f t="shared" si="15"/>
        <v>0</v>
      </c>
      <c r="K63" s="230">
        <f t="shared" si="15"/>
        <v>0</v>
      </c>
      <c r="L63" s="293">
        <f t="shared" si="15"/>
        <v>0</v>
      </c>
      <c r="M63" s="230">
        <f t="shared" si="15"/>
        <v>0</v>
      </c>
      <c r="N63" s="293">
        <f t="shared" si="15"/>
        <v>0</v>
      </c>
      <c r="O63" s="230">
        <f t="shared" si="15"/>
        <v>0</v>
      </c>
      <c r="P63" s="293">
        <f t="shared" si="15"/>
        <v>0</v>
      </c>
      <c r="Q63" s="230">
        <f t="shared" si="15"/>
        <v>0</v>
      </c>
      <c r="R63" s="293">
        <f t="shared" si="15"/>
        <v>0</v>
      </c>
      <c r="S63" s="230">
        <f t="shared" si="15"/>
        <v>0</v>
      </c>
      <c r="T63" s="293">
        <f t="shared" si="15"/>
        <v>0</v>
      </c>
      <c r="U63" s="230">
        <f t="shared" si="15"/>
        <v>0</v>
      </c>
      <c r="V63" s="293">
        <f t="shared" si="15"/>
        <v>0</v>
      </c>
      <c r="W63" s="230">
        <f t="shared" si="15"/>
        <v>0</v>
      </c>
      <c r="X63" s="293">
        <f t="shared" si="15"/>
        <v>0</v>
      </c>
      <c r="Y63" s="230">
        <f t="shared" si="15"/>
        <v>0</v>
      </c>
      <c r="Z63" s="293">
        <f t="shared" si="15"/>
        <v>0</v>
      </c>
    </row>
    <row r="64" spans="1:26" x14ac:dyDescent="0.2">
      <c r="A64" s="699"/>
      <c r="B64" s="272" t="s">
        <v>379</v>
      </c>
      <c r="C64" s="230">
        <f t="shared" ref="C64:Z64" si="16">C$12-C53</f>
        <v>0</v>
      </c>
      <c r="D64" s="293">
        <f t="shared" si="16"/>
        <v>0</v>
      </c>
      <c r="E64" s="230">
        <f t="shared" si="16"/>
        <v>0</v>
      </c>
      <c r="F64" s="293">
        <f t="shared" si="16"/>
        <v>0</v>
      </c>
      <c r="G64" s="230">
        <f t="shared" si="16"/>
        <v>0</v>
      </c>
      <c r="H64" s="293">
        <f t="shared" si="16"/>
        <v>0</v>
      </c>
      <c r="I64" s="230">
        <f t="shared" si="16"/>
        <v>0</v>
      </c>
      <c r="J64" s="293">
        <f t="shared" si="16"/>
        <v>0</v>
      </c>
      <c r="K64" s="230">
        <f t="shared" si="16"/>
        <v>0</v>
      </c>
      <c r="L64" s="293">
        <f t="shared" si="16"/>
        <v>0</v>
      </c>
      <c r="M64" s="230">
        <f t="shared" si="16"/>
        <v>0</v>
      </c>
      <c r="N64" s="293">
        <f t="shared" si="16"/>
        <v>0</v>
      </c>
      <c r="O64" s="230">
        <f t="shared" si="16"/>
        <v>0</v>
      </c>
      <c r="P64" s="293">
        <f t="shared" si="16"/>
        <v>0</v>
      </c>
      <c r="Q64" s="230">
        <f t="shared" si="16"/>
        <v>0</v>
      </c>
      <c r="R64" s="293">
        <f t="shared" si="16"/>
        <v>0</v>
      </c>
      <c r="S64" s="230">
        <f t="shared" si="16"/>
        <v>0</v>
      </c>
      <c r="T64" s="293">
        <f t="shared" si="16"/>
        <v>0</v>
      </c>
      <c r="U64" s="230">
        <f t="shared" si="16"/>
        <v>0</v>
      </c>
      <c r="V64" s="293">
        <f t="shared" si="16"/>
        <v>0</v>
      </c>
      <c r="W64" s="230">
        <f t="shared" si="16"/>
        <v>0</v>
      </c>
      <c r="X64" s="293">
        <f t="shared" si="16"/>
        <v>0</v>
      </c>
      <c r="Y64" s="230">
        <f t="shared" si="16"/>
        <v>0</v>
      </c>
      <c r="Z64" s="293">
        <f t="shared" si="16"/>
        <v>0</v>
      </c>
    </row>
    <row r="65" spans="1:26" x14ac:dyDescent="0.2">
      <c r="A65" s="699"/>
      <c r="B65" s="272" t="s">
        <v>380</v>
      </c>
      <c r="C65" s="230">
        <f t="shared" ref="C65:Z65" si="17">C$13-C54</f>
        <v>0</v>
      </c>
      <c r="D65" s="293">
        <f t="shared" si="17"/>
        <v>0</v>
      </c>
      <c r="E65" s="230">
        <f t="shared" si="17"/>
        <v>0</v>
      </c>
      <c r="F65" s="293">
        <f t="shared" si="17"/>
        <v>0</v>
      </c>
      <c r="G65" s="230">
        <f t="shared" si="17"/>
        <v>0</v>
      </c>
      <c r="H65" s="293">
        <f t="shared" si="17"/>
        <v>0</v>
      </c>
      <c r="I65" s="230">
        <f t="shared" si="17"/>
        <v>0</v>
      </c>
      <c r="J65" s="293">
        <f t="shared" si="17"/>
        <v>0</v>
      </c>
      <c r="K65" s="230">
        <f t="shared" si="17"/>
        <v>0</v>
      </c>
      <c r="L65" s="293">
        <f t="shared" si="17"/>
        <v>0</v>
      </c>
      <c r="M65" s="230">
        <f t="shared" si="17"/>
        <v>0</v>
      </c>
      <c r="N65" s="293">
        <f t="shared" si="17"/>
        <v>0</v>
      </c>
      <c r="O65" s="230">
        <f t="shared" si="17"/>
        <v>0</v>
      </c>
      <c r="P65" s="293">
        <f t="shared" si="17"/>
        <v>0</v>
      </c>
      <c r="Q65" s="230">
        <f t="shared" si="17"/>
        <v>0</v>
      </c>
      <c r="R65" s="293">
        <f t="shared" si="17"/>
        <v>0</v>
      </c>
      <c r="S65" s="230">
        <f t="shared" si="17"/>
        <v>0</v>
      </c>
      <c r="T65" s="293">
        <f t="shared" si="17"/>
        <v>0</v>
      </c>
      <c r="U65" s="230">
        <f t="shared" si="17"/>
        <v>0</v>
      </c>
      <c r="V65" s="293">
        <f t="shared" si="17"/>
        <v>0</v>
      </c>
      <c r="W65" s="230">
        <f t="shared" si="17"/>
        <v>0</v>
      </c>
      <c r="X65" s="293">
        <f t="shared" si="17"/>
        <v>0</v>
      </c>
      <c r="Y65" s="230">
        <f t="shared" si="17"/>
        <v>0</v>
      </c>
      <c r="Z65" s="293">
        <f t="shared" si="17"/>
        <v>0</v>
      </c>
    </row>
    <row r="66" spans="1:26" x14ac:dyDescent="0.2">
      <c r="A66" s="699"/>
      <c r="B66" s="272" t="s">
        <v>381</v>
      </c>
      <c r="C66" s="230">
        <f t="shared" ref="C66:Z66" si="18">C$14-C55</f>
        <v>0</v>
      </c>
      <c r="D66" s="293">
        <f t="shared" si="18"/>
        <v>0</v>
      </c>
      <c r="E66" s="230">
        <f t="shared" si="18"/>
        <v>0</v>
      </c>
      <c r="F66" s="293">
        <f t="shared" si="18"/>
        <v>0</v>
      </c>
      <c r="G66" s="230">
        <f t="shared" si="18"/>
        <v>0</v>
      </c>
      <c r="H66" s="293">
        <f t="shared" si="18"/>
        <v>0</v>
      </c>
      <c r="I66" s="230">
        <f t="shared" si="18"/>
        <v>0</v>
      </c>
      <c r="J66" s="293">
        <f t="shared" si="18"/>
        <v>0</v>
      </c>
      <c r="K66" s="230">
        <f t="shared" si="18"/>
        <v>0</v>
      </c>
      <c r="L66" s="293">
        <f t="shared" si="18"/>
        <v>0</v>
      </c>
      <c r="M66" s="230">
        <f t="shared" si="18"/>
        <v>0</v>
      </c>
      <c r="N66" s="293">
        <f t="shared" si="18"/>
        <v>0</v>
      </c>
      <c r="O66" s="230">
        <f t="shared" si="18"/>
        <v>0</v>
      </c>
      <c r="P66" s="293">
        <f t="shared" si="18"/>
        <v>0</v>
      </c>
      <c r="Q66" s="230">
        <f t="shared" si="18"/>
        <v>0</v>
      </c>
      <c r="R66" s="293">
        <f t="shared" si="18"/>
        <v>0</v>
      </c>
      <c r="S66" s="230">
        <f t="shared" si="18"/>
        <v>0</v>
      </c>
      <c r="T66" s="293">
        <f t="shared" si="18"/>
        <v>0</v>
      </c>
      <c r="U66" s="230">
        <f t="shared" si="18"/>
        <v>0</v>
      </c>
      <c r="V66" s="293">
        <f t="shared" si="18"/>
        <v>0</v>
      </c>
      <c r="W66" s="230">
        <f t="shared" si="18"/>
        <v>0</v>
      </c>
      <c r="X66" s="293">
        <f t="shared" si="18"/>
        <v>0</v>
      </c>
      <c r="Y66" s="230">
        <f t="shared" si="18"/>
        <v>0</v>
      </c>
      <c r="Z66" s="293">
        <f t="shared" si="18"/>
        <v>0</v>
      </c>
    </row>
    <row r="67" spans="1:26" s="20" customFormat="1" x14ac:dyDescent="0.2">
      <c r="A67" s="700"/>
      <c r="B67" s="274" t="s">
        <v>382</v>
      </c>
      <c r="C67" s="275">
        <f t="shared" ref="C67:Z67" si="19">C$15-C56</f>
        <v>2519</v>
      </c>
      <c r="D67" s="294">
        <f t="shared" si="19"/>
        <v>15.700000000000017</v>
      </c>
      <c r="E67" s="275">
        <f t="shared" si="19"/>
        <v>9120</v>
      </c>
      <c r="F67" s="294">
        <f t="shared" si="19"/>
        <v>10.200000000000017</v>
      </c>
      <c r="G67" s="275">
        <f t="shared" si="19"/>
        <v>7527</v>
      </c>
      <c r="H67" s="294">
        <f t="shared" si="19"/>
        <v>25</v>
      </c>
      <c r="I67" s="275">
        <f t="shared" si="19"/>
        <v>34334</v>
      </c>
      <c r="J67" s="294">
        <f t="shared" si="19"/>
        <v>9.6000000000000227</v>
      </c>
      <c r="K67" s="275">
        <f t="shared" si="19"/>
        <v>33883</v>
      </c>
      <c r="L67" s="294">
        <f t="shared" si="19"/>
        <v>14.099999999999994</v>
      </c>
      <c r="M67" s="275">
        <f t="shared" si="19"/>
        <v>35919</v>
      </c>
      <c r="N67" s="294">
        <f t="shared" si="19"/>
        <v>9.9000000000000341</v>
      </c>
      <c r="O67" s="275">
        <f t="shared" si="19"/>
        <v>39128</v>
      </c>
      <c r="P67" s="294">
        <f t="shared" si="19"/>
        <v>10.800000000000068</v>
      </c>
      <c r="Q67" s="275">
        <f t="shared" si="19"/>
        <v>27489</v>
      </c>
      <c r="R67" s="294">
        <f t="shared" si="19"/>
        <v>11.5</v>
      </c>
      <c r="S67" s="275">
        <f t="shared" si="19"/>
        <v>41802</v>
      </c>
      <c r="T67" s="294">
        <f t="shared" si="19"/>
        <v>17.399999999999977</v>
      </c>
      <c r="U67" s="275">
        <f t="shared" si="19"/>
        <v>178920</v>
      </c>
      <c r="V67" s="294">
        <f t="shared" si="19"/>
        <v>56</v>
      </c>
      <c r="W67" s="275">
        <f t="shared" si="19"/>
        <v>38204</v>
      </c>
      <c r="X67" s="294">
        <f t="shared" si="19"/>
        <v>10.600000000000023</v>
      </c>
      <c r="Y67" s="275">
        <f t="shared" si="19"/>
        <v>37171</v>
      </c>
      <c r="Z67" s="294">
        <f t="shared" si="19"/>
        <v>15.5</v>
      </c>
    </row>
    <row r="68" spans="1:26" s="20" customFormat="1" x14ac:dyDescent="0.2">
      <c r="A68" s="266"/>
      <c r="B68" s="227"/>
      <c r="C68" s="267"/>
      <c r="D68" s="232"/>
      <c r="E68" s="268"/>
      <c r="F68" s="237"/>
      <c r="G68" s="267"/>
      <c r="H68" s="232"/>
      <c r="I68" s="267"/>
      <c r="J68" s="232"/>
      <c r="K68" s="267"/>
      <c r="L68" s="232"/>
      <c r="M68" s="267"/>
      <c r="N68" s="232"/>
      <c r="O68" s="267"/>
      <c r="P68" s="232"/>
      <c r="Q68" s="267"/>
      <c r="R68" s="232"/>
      <c r="S68" s="267"/>
      <c r="T68" s="232"/>
      <c r="U68" s="267"/>
      <c r="V68" s="232"/>
      <c r="W68" s="267"/>
      <c r="X68" s="232"/>
      <c r="Y68" s="267"/>
      <c r="Z68" s="232"/>
    </row>
    <row r="69" spans="1:26" s="202" customFormat="1" x14ac:dyDescent="0.2">
      <c r="A69" s="698" t="s">
        <v>512</v>
      </c>
      <c r="B69" s="269" t="s">
        <v>488</v>
      </c>
      <c r="C69" s="304" t="s">
        <v>486</v>
      </c>
      <c r="D69" s="280" t="s">
        <v>487</v>
      </c>
      <c r="E69" s="304" t="s">
        <v>486</v>
      </c>
      <c r="F69" s="280" t="s">
        <v>487</v>
      </c>
      <c r="G69" s="304" t="s">
        <v>486</v>
      </c>
      <c r="H69" s="280" t="s">
        <v>487</v>
      </c>
      <c r="I69" s="304" t="s">
        <v>486</v>
      </c>
      <c r="J69" s="280" t="s">
        <v>487</v>
      </c>
      <c r="K69" s="304" t="s">
        <v>486</v>
      </c>
      <c r="L69" s="280" t="s">
        <v>487</v>
      </c>
      <c r="M69" s="304" t="s">
        <v>486</v>
      </c>
      <c r="N69" s="280" t="s">
        <v>487</v>
      </c>
      <c r="O69" s="304" t="s">
        <v>486</v>
      </c>
      <c r="P69" s="280" t="s">
        <v>487</v>
      </c>
      <c r="Q69" s="304" t="s">
        <v>486</v>
      </c>
      <c r="R69" s="280" t="s">
        <v>487</v>
      </c>
      <c r="S69" s="304" t="s">
        <v>486</v>
      </c>
      <c r="T69" s="280" t="s">
        <v>487</v>
      </c>
      <c r="U69" s="304" t="s">
        <v>486</v>
      </c>
      <c r="V69" s="280" t="s">
        <v>487</v>
      </c>
      <c r="W69" s="304" t="s">
        <v>486</v>
      </c>
      <c r="X69" s="280" t="s">
        <v>487</v>
      </c>
      <c r="Y69" s="304" t="s">
        <v>486</v>
      </c>
      <c r="Z69" s="314" t="s">
        <v>487</v>
      </c>
    </row>
    <row r="70" spans="1:26" x14ac:dyDescent="0.2">
      <c r="A70" s="699"/>
      <c r="B70" s="144" t="s">
        <v>256</v>
      </c>
      <c r="C70" s="305">
        <f>'6 Oversikt startpunkt'!B44</f>
        <v>0.3</v>
      </c>
      <c r="D70" s="270">
        <f>'7 Passivhusnivå'!C28</f>
        <v>0.09</v>
      </c>
      <c r="E70" s="305">
        <f>'6 Oversikt startpunkt'!C44</f>
        <v>0.3</v>
      </c>
      <c r="F70" s="270">
        <f>'7 Passivhusnivå'!D28</f>
        <v>0.09</v>
      </c>
      <c r="G70" s="305">
        <f>'6 Oversikt startpunkt'!D44</f>
        <v>0.3</v>
      </c>
      <c r="H70" s="270">
        <f>'7 Passivhusnivå'!F28</f>
        <v>0.09</v>
      </c>
      <c r="I70" s="305">
        <f>'6 Oversikt startpunkt'!E44</f>
        <v>0.3</v>
      </c>
      <c r="J70" s="270">
        <f>'7 Passivhusnivå'!G28</f>
        <v>0.11</v>
      </c>
      <c r="K70" s="243">
        <f>'6 Oversikt startpunkt'!F44</f>
        <v>0.3</v>
      </c>
      <c r="L70" s="312">
        <f>'7 Passivhusnivå'!H28</f>
        <v>0.11</v>
      </c>
      <c r="M70" s="271">
        <f>'6 Oversikt startpunkt'!G44</f>
        <v>0.3</v>
      </c>
      <c r="N70" s="270">
        <f>'7 Passivhusnivå'!I28</f>
        <v>0.11</v>
      </c>
      <c r="O70" s="243">
        <f>'6 Oversikt startpunkt'!H44</f>
        <v>0.3</v>
      </c>
      <c r="P70" s="312">
        <f>'7 Passivhusnivå'!J28</f>
        <v>0.11</v>
      </c>
      <c r="Q70" s="271">
        <f>'6 Oversikt startpunkt'!I44</f>
        <v>0.3</v>
      </c>
      <c r="R70" s="270">
        <f>'7 Passivhusnivå'!K28</f>
        <v>0.11</v>
      </c>
      <c r="S70" s="243">
        <f>'6 Oversikt startpunkt'!J44</f>
        <v>0.3</v>
      </c>
      <c r="T70" s="312">
        <f>'7 Passivhusnivå'!L28</f>
        <v>0.09</v>
      </c>
      <c r="U70" s="271">
        <f>'6 Oversikt startpunkt'!K44</f>
        <v>0.3</v>
      </c>
      <c r="V70" s="270">
        <f>'7 Passivhusnivå'!M28</f>
        <v>0.09</v>
      </c>
      <c r="W70" s="243">
        <f>'6 Oversikt startpunkt'!L44</f>
        <v>0.3</v>
      </c>
      <c r="X70" s="312">
        <f>'7 Passivhusnivå'!N28</f>
        <v>0.11</v>
      </c>
      <c r="Y70" s="243">
        <f>'6 Oversikt startpunkt'!M44</f>
        <v>0.3</v>
      </c>
      <c r="Z70" s="312">
        <f>'7 Passivhusnivå'!O28</f>
        <v>0.11</v>
      </c>
    </row>
    <row r="71" spans="1:26" s="216" customFormat="1" x14ac:dyDescent="0.2">
      <c r="A71" s="699"/>
      <c r="B71" s="288" t="s">
        <v>490</v>
      </c>
      <c r="C71" s="289" t="s">
        <v>372</v>
      </c>
      <c r="D71" s="290" t="s">
        <v>397</v>
      </c>
      <c r="E71" s="289" t="s">
        <v>372</v>
      </c>
      <c r="F71" s="291" t="s">
        <v>397</v>
      </c>
      <c r="G71" s="292" t="s">
        <v>372</v>
      </c>
      <c r="H71" s="290" t="s">
        <v>397</v>
      </c>
      <c r="I71" s="289" t="s">
        <v>372</v>
      </c>
      <c r="J71" s="291" t="s">
        <v>397</v>
      </c>
      <c r="K71" s="292" t="s">
        <v>372</v>
      </c>
      <c r="L71" s="290" t="s">
        <v>397</v>
      </c>
      <c r="M71" s="289" t="s">
        <v>372</v>
      </c>
      <c r="N71" s="290" t="s">
        <v>397</v>
      </c>
      <c r="O71" s="289" t="s">
        <v>372</v>
      </c>
      <c r="P71" s="290" t="s">
        <v>397</v>
      </c>
      <c r="Q71" s="289" t="s">
        <v>372</v>
      </c>
      <c r="R71" s="290" t="s">
        <v>397</v>
      </c>
      <c r="S71" s="289" t="s">
        <v>372</v>
      </c>
      <c r="T71" s="290" t="s">
        <v>397</v>
      </c>
      <c r="U71" s="289" t="s">
        <v>372</v>
      </c>
      <c r="V71" s="290" t="s">
        <v>397</v>
      </c>
      <c r="W71" s="289" t="s">
        <v>372</v>
      </c>
      <c r="X71" s="290" t="s">
        <v>397</v>
      </c>
      <c r="Y71" s="289" t="s">
        <v>372</v>
      </c>
      <c r="Z71" s="291" t="s">
        <v>397</v>
      </c>
    </row>
    <row r="72" spans="1:26" x14ac:dyDescent="0.2">
      <c r="A72" s="699"/>
      <c r="B72" s="272" t="s">
        <v>373</v>
      </c>
      <c r="C72" s="230">
        <v>28593</v>
      </c>
      <c r="D72" s="231">
        <v>178.7</v>
      </c>
      <c r="E72" s="230">
        <v>148231</v>
      </c>
      <c r="F72" s="273">
        <v>164.7</v>
      </c>
      <c r="G72" s="285">
        <v>42130</v>
      </c>
      <c r="H72" s="231">
        <v>140.4</v>
      </c>
      <c r="I72" s="230">
        <v>333696</v>
      </c>
      <c r="J72" s="273">
        <v>92.7</v>
      </c>
      <c r="K72" s="285">
        <v>267827</v>
      </c>
      <c r="L72" s="231">
        <v>111.6</v>
      </c>
      <c r="M72" s="230">
        <v>362267</v>
      </c>
      <c r="N72" s="231">
        <v>100.6</v>
      </c>
      <c r="O72" s="230">
        <v>537388</v>
      </c>
      <c r="P72" s="231">
        <v>149.30000000000001</v>
      </c>
      <c r="Q72" s="230">
        <v>246238</v>
      </c>
      <c r="R72" s="231">
        <v>102.6</v>
      </c>
      <c r="S72" s="230">
        <v>333534</v>
      </c>
      <c r="T72" s="231">
        <v>139</v>
      </c>
      <c r="U72" s="230">
        <v>617845</v>
      </c>
      <c r="V72" s="231">
        <v>193.1</v>
      </c>
      <c r="W72" s="230">
        <v>423807</v>
      </c>
      <c r="X72" s="231">
        <v>117.7</v>
      </c>
      <c r="Y72" s="230">
        <v>351468</v>
      </c>
      <c r="Z72" s="273">
        <v>146.4</v>
      </c>
    </row>
    <row r="73" spans="1:26" x14ac:dyDescent="0.2">
      <c r="A73" s="699"/>
      <c r="B73" s="272" t="s">
        <v>374</v>
      </c>
      <c r="C73" s="230">
        <v>0</v>
      </c>
      <c r="D73" s="231">
        <v>0</v>
      </c>
      <c r="E73" s="230">
        <v>0</v>
      </c>
      <c r="F73" s="273">
        <v>0</v>
      </c>
      <c r="G73" s="285">
        <v>8740</v>
      </c>
      <c r="H73" s="231">
        <v>29.1</v>
      </c>
      <c r="I73" s="230">
        <v>104843</v>
      </c>
      <c r="J73" s="273">
        <v>29.1</v>
      </c>
      <c r="K73" s="285">
        <v>88059</v>
      </c>
      <c r="L73" s="231">
        <v>36.700000000000003</v>
      </c>
      <c r="M73" s="230">
        <v>136806</v>
      </c>
      <c r="N73" s="231">
        <v>38</v>
      </c>
      <c r="O73" s="230">
        <v>343380</v>
      </c>
      <c r="P73" s="231">
        <v>95.4</v>
      </c>
      <c r="Q73" s="230">
        <v>206801</v>
      </c>
      <c r="R73" s="231">
        <v>86.2</v>
      </c>
      <c r="S73" s="230">
        <v>130088</v>
      </c>
      <c r="T73" s="231">
        <v>54.2</v>
      </c>
      <c r="U73" s="230">
        <v>137738</v>
      </c>
      <c r="V73" s="231">
        <v>43</v>
      </c>
      <c r="W73" s="230">
        <v>239735</v>
      </c>
      <c r="X73" s="231">
        <v>66.599999999999994</v>
      </c>
      <c r="Y73" s="230">
        <v>73882</v>
      </c>
      <c r="Z73" s="273">
        <v>30.8</v>
      </c>
    </row>
    <row r="74" spans="1:26" x14ac:dyDescent="0.2">
      <c r="A74" s="699"/>
      <c r="B74" s="272" t="s">
        <v>375</v>
      </c>
      <c r="C74" s="230">
        <v>4765</v>
      </c>
      <c r="D74" s="231">
        <v>29.8</v>
      </c>
      <c r="E74" s="230">
        <v>26792</v>
      </c>
      <c r="F74" s="273">
        <v>29.8</v>
      </c>
      <c r="G74" s="285">
        <v>3007</v>
      </c>
      <c r="H74" s="231">
        <v>10</v>
      </c>
      <c r="I74" s="230">
        <v>18040</v>
      </c>
      <c r="J74" s="273">
        <v>5</v>
      </c>
      <c r="K74" s="285">
        <v>23530</v>
      </c>
      <c r="L74" s="231">
        <v>9.8000000000000007</v>
      </c>
      <c r="M74" s="230">
        <v>18040</v>
      </c>
      <c r="N74" s="231">
        <v>5</v>
      </c>
      <c r="O74" s="230">
        <v>107170</v>
      </c>
      <c r="P74" s="231">
        <v>29.8</v>
      </c>
      <c r="Q74" s="230">
        <v>71482</v>
      </c>
      <c r="R74" s="231">
        <v>29.8</v>
      </c>
      <c r="S74" s="230">
        <v>71482</v>
      </c>
      <c r="T74" s="231">
        <v>29.8</v>
      </c>
      <c r="U74" s="230">
        <v>156864</v>
      </c>
      <c r="V74" s="231">
        <v>49</v>
      </c>
      <c r="W74" s="230">
        <v>36408</v>
      </c>
      <c r="X74" s="231">
        <v>10.1</v>
      </c>
      <c r="Y74" s="230">
        <v>24054</v>
      </c>
      <c r="Z74" s="273">
        <v>10</v>
      </c>
    </row>
    <row r="75" spans="1:26" x14ac:dyDescent="0.2">
      <c r="A75" s="699"/>
      <c r="B75" s="272" t="s">
        <v>376</v>
      </c>
      <c r="C75" s="230">
        <v>0</v>
      </c>
      <c r="D75" s="231">
        <v>0</v>
      </c>
      <c r="E75" s="230">
        <v>0</v>
      </c>
      <c r="F75" s="273">
        <v>0</v>
      </c>
      <c r="G75" s="285">
        <v>10505</v>
      </c>
      <c r="H75" s="231">
        <v>35</v>
      </c>
      <c r="I75" s="230">
        <v>123343</v>
      </c>
      <c r="J75" s="273">
        <v>34.299999999999997</v>
      </c>
      <c r="K75" s="285">
        <v>92310</v>
      </c>
      <c r="L75" s="231">
        <v>38.5</v>
      </c>
      <c r="M75" s="230">
        <v>160332</v>
      </c>
      <c r="N75" s="231">
        <v>44.5</v>
      </c>
      <c r="O75" s="230">
        <v>369461</v>
      </c>
      <c r="P75" s="231">
        <v>102.6</v>
      </c>
      <c r="Q75" s="230">
        <v>216212</v>
      </c>
      <c r="R75" s="231">
        <v>90.1</v>
      </c>
      <c r="S75" s="230">
        <v>149037</v>
      </c>
      <c r="T75" s="231">
        <v>62.1</v>
      </c>
      <c r="U75" s="230">
        <v>108368</v>
      </c>
      <c r="V75" s="231">
        <v>33.9</v>
      </c>
      <c r="W75" s="230">
        <v>294892</v>
      </c>
      <c r="X75" s="231">
        <v>81.900000000000006</v>
      </c>
      <c r="Y75" s="230">
        <v>91350</v>
      </c>
      <c r="Z75" s="273">
        <v>38.1</v>
      </c>
    </row>
    <row r="76" spans="1:26" x14ac:dyDescent="0.2">
      <c r="A76" s="699"/>
      <c r="B76" s="272" t="s">
        <v>377</v>
      </c>
      <c r="C76" s="230">
        <v>183</v>
      </c>
      <c r="D76" s="231">
        <v>1.1000000000000001</v>
      </c>
      <c r="E76" s="230">
        <v>937</v>
      </c>
      <c r="F76" s="273">
        <v>1</v>
      </c>
      <c r="G76" s="285">
        <v>494</v>
      </c>
      <c r="H76" s="231">
        <v>1.6</v>
      </c>
      <c r="I76" s="230">
        <v>11254</v>
      </c>
      <c r="J76" s="273">
        <v>3.1</v>
      </c>
      <c r="K76" s="285">
        <v>4312</v>
      </c>
      <c r="L76" s="231">
        <v>1.8</v>
      </c>
      <c r="M76" s="230">
        <v>12929</v>
      </c>
      <c r="N76" s="231">
        <v>3.6</v>
      </c>
      <c r="O76" s="230">
        <v>16036</v>
      </c>
      <c r="P76" s="231">
        <v>4.5</v>
      </c>
      <c r="Q76" s="230">
        <v>3555</v>
      </c>
      <c r="R76" s="231">
        <v>1.5</v>
      </c>
      <c r="S76" s="230">
        <v>13040</v>
      </c>
      <c r="T76" s="231">
        <v>5.4</v>
      </c>
      <c r="U76" s="230">
        <v>6339</v>
      </c>
      <c r="V76" s="231">
        <v>2</v>
      </c>
      <c r="W76" s="230">
        <v>17741</v>
      </c>
      <c r="X76" s="231">
        <v>4.9000000000000004</v>
      </c>
      <c r="Y76" s="230">
        <v>8295</v>
      </c>
      <c r="Z76" s="273">
        <v>3.5</v>
      </c>
    </row>
    <row r="77" spans="1:26" x14ac:dyDescent="0.2">
      <c r="A77" s="699"/>
      <c r="B77" s="272" t="s">
        <v>378</v>
      </c>
      <c r="C77" s="230">
        <v>1993</v>
      </c>
      <c r="D77" s="231">
        <v>12.5</v>
      </c>
      <c r="E77" s="230">
        <v>11214</v>
      </c>
      <c r="F77" s="273">
        <v>12.5</v>
      </c>
      <c r="G77" s="285">
        <v>10805</v>
      </c>
      <c r="H77" s="231">
        <v>36</v>
      </c>
      <c r="I77" s="230">
        <v>152215</v>
      </c>
      <c r="J77" s="273">
        <v>42.3</v>
      </c>
      <c r="K77" s="285">
        <v>89010</v>
      </c>
      <c r="L77" s="231">
        <v>37.1</v>
      </c>
      <c r="M77" s="230">
        <v>152215</v>
      </c>
      <c r="N77" s="231">
        <v>42.3</v>
      </c>
      <c r="O77" s="230">
        <v>275951</v>
      </c>
      <c r="P77" s="231">
        <v>76.7</v>
      </c>
      <c r="Q77" s="230">
        <v>183960</v>
      </c>
      <c r="R77" s="231">
        <v>76.7</v>
      </c>
      <c r="S77" s="230">
        <v>183960</v>
      </c>
      <c r="T77" s="231">
        <v>76.7</v>
      </c>
      <c r="U77" s="230">
        <v>111456</v>
      </c>
      <c r="V77" s="231">
        <v>34.799999999999997</v>
      </c>
      <c r="W77" s="230">
        <v>341223</v>
      </c>
      <c r="X77" s="231">
        <v>94.8</v>
      </c>
      <c r="Y77" s="230">
        <v>93960</v>
      </c>
      <c r="Z77" s="273">
        <v>39.1</v>
      </c>
    </row>
    <row r="78" spans="1:26" x14ac:dyDescent="0.2">
      <c r="A78" s="699"/>
      <c r="B78" s="272" t="s">
        <v>379</v>
      </c>
      <c r="C78" s="230">
        <v>3066</v>
      </c>
      <c r="D78" s="231">
        <v>19.2</v>
      </c>
      <c r="E78" s="230">
        <v>17247</v>
      </c>
      <c r="F78" s="273">
        <v>19.2</v>
      </c>
      <c r="G78" s="285">
        <v>1801</v>
      </c>
      <c r="H78" s="231">
        <v>6</v>
      </c>
      <c r="I78" s="230">
        <v>139560</v>
      </c>
      <c r="J78" s="273">
        <v>38.799999999999997</v>
      </c>
      <c r="K78" s="285">
        <v>35604</v>
      </c>
      <c r="L78" s="231">
        <v>14.8</v>
      </c>
      <c r="M78" s="230">
        <v>139560</v>
      </c>
      <c r="N78" s="231">
        <v>38.799999999999997</v>
      </c>
      <c r="O78" s="230">
        <v>183960</v>
      </c>
      <c r="P78" s="231">
        <v>51.1</v>
      </c>
      <c r="Q78" s="230">
        <v>61320</v>
      </c>
      <c r="R78" s="231">
        <v>25.6</v>
      </c>
      <c r="S78" s="230">
        <v>15330</v>
      </c>
      <c r="T78" s="231">
        <v>6.4</v>
      </c>
      <c r="U78" s="230">
        <v>9288</v>
      </c>
      <c r="V78" s="231">
        <v>2.9</v>
      </c>
      <c r="W78" s="230">
        <v>15163</v>
      </c>
      <c r="X78" s="231">
        <v>4.2</v>
      </c>
      <c r="Y78" s="230">
        <v>7830</v>
      </c>
      <c r="Z78" s="273">
        <v>3.3</v>
      </c>
    </row>
    <row r="79" spans="1:26" x14ac:dyDescent="0.2">
      <c r="A79" s="699"/>
      <c r="B79" s="272" t="s">
        <v>380</v>
      </c>
      <c r="C79" s="230">
        <v>0</v>
      </c>
      <c r="D79" s="231">
        <v>0</v>
      </c>
      <c r="E79" s="235">
        <v>0</v>
      </c>
      <c r="F79" s="273">
        <v>0</v>
      </c>
      <c r="G79" s="285">
        <v>0</v>
      </c>
      <c r="H79" s="231">
        <v>0</v>
      </c>
      <c r="I79" s="230">
        <v>0</v>
      </c>
      <c r="J79" s="273">
        <v>0</v>
      </c>
      <c r="K79" s="285">
        <v>0</v>
      </c>
      <c r="L79" s="231">
        <v>0</v>
      </c>
      <c r="M79" s="230">
        <v>0</v>
      </c>
      <c r="N79" s="231">
        <v>0</v>
      </c>
      <c r="O79" s="230">
        <v>0</v>
      </c>
      <c r="P79" s="231">
        <v>0</v>
      </c>
      <c r="Q79" s="230">
        <v>0</v>
      </c>
      <c r="R79" s="231">
        <v>0</v>
      </c>
      <c r="S79" s="230">
        <v>0</v>
      </c>
      <c r="T79" s="231">
        <v>0</v>
      </c>
      <c r="U79" s="230">
        <v>0</v>
      </c>
      <c r="V79" s="231">
        <v>0</v>
      </c>
      <c r="W79" s="230">
        <v>0</v>
      </c>
      <c r="X79" s="231">
        <v>0</v>
      </c>
      <c r="Y79" s="230">
        <v>0</v>
      </c>
      <c r="Z79" s="273">
        <v>0</v>
      </c>
    </row>
    <row r="80" spans="1:26" x14ac:dyDescent="0.2">
      <c r="A80" s="699"/>
      <c r="B80" s="272" t="s">
        <v>381</v>
      </c>
      <c r="C80" s="230">
        <v>0</v>
      </c>
      <c r="D80" s="231">
        <v>0</v>
      </c>
      <c r="E80" s="235">
        <v>0</v>
      </c>
      <c r="F80" s="273">
        <v>0</v>
      </c>
      <c r="G80" s="285">
        <v>0</v>
      </c>
      <c r="H80" s="231">
        <v>0</v>
      </c>
      <c r="I80" s="230">
        <v>73966</v>
      </c>
      <c r="J80" s="273">
        <v>20.5</v>
      </c>
      <c r="K80" s="285">
        <v>0</v>
      </c>
      <c r="L80" s="231">
        <v>0</v>
      </c>
      <c r="M80" s="230">
        <v>94347</v>
      </c>
      <c r="N80" s="231">
        <v>26.2</v>
      </c>
      <c r="O80" s="230">
        <v>188740</v>
      </c>
      <c r="P80" s="231">
        <v>52.4</v>
      </c>
      <c r="Q80" s="230">
        <v>0</v>
      </c>
      <c r="R80" s="231">
        <v>0</v>
      </c>
      <c r="S80" s="230">
        <v>85693</v>
      </c>
      <c r="T80" s="231">
        <v>35.700000000000003</v>
      </c>
      <c r="U80" s="230">
        <v>0</v>
      </c>
      <c r="V80" s="231">
        <v>0</v>
      </c>
      <c r="W80" s="230">
        <v>189046</v>
      </c>
      <c r="X80" s="231">
        <v>52.5</v>
      </c>
      <c r="Y80" s="230">
        <v>61993</v>
      </c>
      <c r="Z80" s="273">
        <v>25.8</v>
      </c>
    </row>
    <row r="81" spans="1:26" s="20" customFormat="1" x14ac:dyDescent="0.2">
      <c r="A81" s="699"/>
      <c r="B81" s="274" t="s">
        <v>382</v>
      </c>
      <c r="C81" s="275">
        <v>38600</v>
      </c>
      <c r="D81" s="276">
        <v>241.3</v>
      </c>
      <c r="E81" s="277">
        <v>204421</v>
      </c>
      <c r="F81" s="287">
        <v>227.1</v>
      </c>
      <c r="G81" s="286">
        <v>77482</v>
      </c>
      <c r="H81" s="276">
        <v>258.3</v>
      </c>
      <c r="I81" s="275">
        <v>956918</v>
      </c>
      <c r="J81" s="279">
        <v>265.8</v>
      </c>
      <c r="K81" s="286">
        <v>600652</v>
      </c>
      <c r="L81" s="276">
        <v>250.3</v>
      </c>
      <c r="M81" s="275">
        <v>1076496</v>
      </c>
      <c r="N81" s="276">
        <v>299</v>
      </c>
      <c r="O81" s="275">
        <v>2022086</v>
      </c>
      <c r="P81" s="276">
        <v>561.70000000000005</v>
      </c>
      <c r="Q81" s="275">
        <v>989568</v>
      </c>
      <c r="R81" s="276">
        <v>412.3</v>
      </c>
      <c r="S81" s="275">
        <v>982163</v>
      </c>
      <c r="T81" s="276">
        <v>409.2</v>
      </c>
      <c r="U81" s="275">
        <v>1147898</v>
      </c>
      <c r="V81" s="276">
        <v>358.7</v>
      </c>
      <c r="W81" s="275">
        <v>1558015</v>
      </c>
      <c r="X81" s="276">
        <v>432.8</v>
      </c>
      <c r="Y81" s="275">
        <v>712831</v>
      </c>
      <c r="Z81" s="279">
        <v>297</v>
      </c>
    </row>
    <row r="82" spans="1:26" s="216" customFormat="1" x14ac:dyDescent="0.2">
      <c r="A82" s="699"/>
      <c r="B82" s="283" t="s">
        <v>491</v>
      </c>
      <c r="C82" s="289" t="s">
        <v>372</v>
      </c>
      <c r="D82" s="291" t="s">
        <v>397</v>
      </c>
      <c r="E82" s="289" t="s">
        <v>372</v>
      </c>
      <c r="F82" s="291" t="s">
        <v>397</v>
      </c>
      <c r="G82" s="289" t="s">
        <v>372</v>
      </c>
      <c r="H82" s="291" t="s">
        <v>397</v>
      </c>
      <c r="I82" s="289" t="s">
        <v>372</v>
      </c>
      <c r="J82" s="291" t="s">
        <v>397</v>
      </c>
      <c r="K82" s="289" t="s">
        <v>372</v>
      </c>
      <c r="L82" s="291" t="s">
        <v>397</v>
      </c>
      <c r="M82" s="289" t="s">
        <v>372</v>
      </c>
      <c r="N82" s="291" t="s">
        <v>397</v>
      </c>
      <c r="O82" s="289" t="s">
        <v>372</v>
      </c>
      <c r="P82" s="291" t="s">
        <v>397</v>
      </c>
      <c r="Q82" s="289" t="s">
        <v>372</v>
      </c>
      <c r="R82" s="291" t="s">
        <v>397</v>
      </c>
      <c r="S82" s="289" t="s">
        <v>372</v>
      </c>
      <c r="T82" s="291" t="s">
        <v>397</v>
      </c>
      <c r="U82" s="289" t="s">
        <v>372</v>
      </c>
      <c r="V82" s="291" t="s">
        <v>397</v>
      </c>
      <c r="W82" s="289" t="s">
        <v>372</v>
      </c>
      <c r="X82" s="291" t="s">
        <v>397</v>
      </c>
      <c r="Y82" s="289" t="s">
        <v>372</v>
      </c>
      <c r="Z82" s="291" t="s">
        <v>397</v>
      </c>
    </row>
    <row r="83" spans="1:26" x14ac:dyDescent="0.2">
      <c r="A83" s="699"/>
      <c r="B83" s="272" t="s">
        <v>373</v>
      </c>
      <c r="C83" s="230">
        <f>C$6-C72</f>
        <v>2093</v>
      </c>
      <c r="D83" s="293">
        <f t="shared" ref="D83:Z83" si="20">D$6-D72</f>
        <v>13.100000000000023</v>
      </c>
      <c r="E83" s="230">
        <f t="shared" si="20"/>
        <v>7386</v>
      </c>
      <c r="F83" s="293">
        <f t="shared" si="20"/>
        <v>8.2000000000000171</v>
      </c>
      <c r="G83" s="230">
        <f t="shared" si="20"/>
        <v>7683</v>
      </c>
      <c r="H83" s="293">
        <f t="shared" si="20"/>
        <v>25.599999999999994</v>
      </c>
      <c r="I83" s="230">
        <f t="shared" si="20"/>
        <v>28316</v>
      </c>
      <c r="J83" s="293">
        <f t="shared" si="20"/>
        <v>7.8999999999999915</v>
      </c>
      <c r="K83" s="230">
        <f t="shared" si="20"/>
        <v>28023</v>
      </c>
      <c r="L83" s="293">
        <f t="shared" si="20"/>
        <v>11.700000000000003</v>
      </c>
      <c r="M83" s="230">
        <f t="shared" si="20"/>
        <v>29681</v>
      </c>
      <c r="N83" s="293">
        <f t="shared" si="20"/>
        <v>8.3000000000000114</v>
      </c>
      <c r="O83" s="230">
        <f t="shared" si="20"/>
        <v>32464</v>
      </c>
      <c r="P83" s="293">
        <f t="shared" si="20"/>
        <v>9</v>
      </c>
      <c r="Q83" s="230">
        <f t="shared" si="20"/>
        <v>29878</v>
      </c>
      <c r="R83" s="293">
        <f t="shared" si="20"/>
        <v>12.400000000000006</v>
      </c>
      <c r="S83" s="230">
        <f t="shared" si="20"/>
        <v>33803</v>
      </c>
      <c r="T83" s="293">
        <f t="shared" si="20"/>
        <v>14.099999999999994</v>
      </c>
      <c r="U83" s="230">
        <f t="shared" si="20"/>
        <v>66453</v>
      </c>
      <c r="V83" s="293">
        <f t="shared" si="20"/>
        <v>20.700000000000017</v>
      </c>
      <c r="W83" s="230">
        <f t="shared" si="20"/>
        <v>31642</v>
      </c>
      <c r="X83" s="293">
        <f>X$6-X72</f>
        <v>8.7999999999999972</v>
      </c>
      <c r="Y83" s="230">
        <f t="shared" si="20"/>
        <v>30860</v>
      </c>
      <c r="Z83" s="293">
        <f t="shared" si="20"/>
        <v>12.900000000000006</v>
      </c>
    </row>
    <row r="84" spans="1:26" x14ac:dyDescent="0.2">
      <c r="A84" s="699"/>
      <c r="B84" s="272" t="s">
        <v>374</v>
      </c>
      <c r="C84" s="230">
        <f t="shared" ref="C84:Z84" si="21">C$7-C73</f>
        <v>0</v>
      </c>
      <c r="D84" s="293">
        <f t="shared" si="21"/>
        <v>0</v>
      </c>
      <c r="E84" s="230">
        <f t="shared" si="21"/>
        <v>0</v>
      </c>
      <c r="F84" s="293">
        <f t="shared" si="21"/>
        <v>0</v>
      </c>
      <c r="G84" s="230">
        <f t="shared" si="21"/>
        <v>41</v>
      </c>
      <c r="H84" s="293">
        <f t="shared" si="21"/>
        <v>0.19999999999999929</v>
      </c>
      <c r="I84" s="230">
        <f t="shared" si="21"/>
        <v>205</v>
      </c>
      <c r="J84" s="293">
        <f t="shared" si="21"/>
        <v>9.9999999999997868E-2</v>
      </c>
      <c r="K84" s="230">
        <f t="shared" si="21"/>
        <v>96</v>
      </c>
      <c r="L84" s="293">
        <f t="shared" si="21"/>
        <v>0</v>
      </c>
      <c r="M84" s="230">
        <f t="shared" si="21"/>
        <v>149</v>
      </c>
      <c r="N84" s="293">
        <f t="shared" si="21"/>
        <v>0</v>
      </c>
      <c r="O84" s="230">
        <f t="shared" si="21"/>
        <v>24</v>
      </c>
      <c r="P84" s="293">
        <f t="shared" si="21"/>
        <v>0</v>
      </c>
      <c r="Q84" s="230">
        <f t="shared" si="21"/>
        <v>90</v>
      </c>
      <c r="R84" s="293">
        <f t="shared" si="21"/>
        <v>0</v>
      </c>
      <c r="S84" s="230">
        <f t="shared" si="21"/>
        <v>4</v>
      </c>
      <c r="T84" s="293">
        <f t="shared" si="21"/>
        <v>0</v>
      </c>
      <c r="U84" s="230">
        <f t="shared" si="21"/>
        <v>250</v>
      </c>
      <c r="V84" s="293">
        <f t="shared" si="21"/>
        <v>0.10000000000000142</v>
      </c>
      <c r="W84" s="230">
        <f t="shared" si="21"/>
        <v>75</v>
      </c>
      <c r="X84" s="293">
        <f t="shared" si="21"/>
        <v>0</v>
      </c>
      <c r="Y84" s="230">
        <f t="shared" si="21"/>
        <v>3</v>
      </c>
      <c r="Z84" s="293">
        <f t="shared" si="21"/>
        <v>0</v>
      </c>
    </row>
    <row r="85" spans="1:26" x14ac:dyDescent="0.2">
      <c r="A85" s="699"/>
      <c r="B85" s="272" t="s">
        <v>375</v>
      </c>
      <c r="C85" s="230">
        <f>C$8-C74</f>
        <v>0</v>
      </c>
      <c r="D85" s="293">
        <f t="shared" ref="D85:Z85" si="22">D$8-D74</f>
        <v>0</v>
      </c>
      <c r="E85" s="230">
        <f t="shared" si="22"/>
        <v>0</v>
      </c>
      <c r="F85" s="293">
        <f t="shared" si="22"/>
        <v>0</v>
      </c>
      <c r="G85" s="230">
        <f t="shared" si="22"/>
        <v>0</v>
      </c>
      <c r="H85" s="293">
        <f t="shared" si="22"/>
        <v>0</v>
      </c>
      <c r="I85" s="230">
        <f t="shared" si="22"/>
        <v>0</v>
      </c>
      <c r="J85" s="293">
        <f t="shared" si="22"/>
        <v>0</v>
      </c>
      <c r="K85" s="230">
        <f t="shared" si="22"/>
        <v>0</v>
      </c>
      <c r="L85" s="293">
        <f t="shared" si="22"/>
        <v>0</v>
      </c>
      <c r="M85" s="230">
        <f t="shared" si="22"/>
        <v>0</v>
      </c>
      <c r="N85" s="293">
        <f t="shared" si="22"/>
        <v>0</v>
      </c>
      <c r="O85" s="230">
        <f t="shared" si="22"/>
        <v>0</v>
      </c>
      <c r="P85" s="293">
        <f t="shared" si="22"/>
        <v>0</v>
      </c>
      <c r="Q85" s="230">
        <f t="shared" si="22"/>
        <v>0</v>
      </c>
      <c r="R85" s="293">
        <f t="shared" si="22"/>
        <v>0</v>
      </c>
      <c r="S85" s="230">
        <f t="shared" si="22"/>
        <v>0</v>
      </c>
      <c r="T85" s="293">
        <f t="shared" si="22"/>
        <v>0</v>
      </c>
      <c r="U85" s="230">
        <f t="shared" si="22"/>
        <v>0</v>
      </c>
      <c r="V85" s="293">
        <f t="shared" si="22"/>
        <v>0</v>
      </c>
      <c r="W85" s="230">
        <f t="shared" si="22"/>
        <v>0</v>
      </c>
      <c r="X85" s="293">
        <f t="shared" si="22"/>
        <v>0</v>
      </c>
      <c r="Y85" s="230">
        <f t="shared" si="22"/>
        <v>0</v>
      </c>
      <c r="Z85" s="293">
        <f t="shared" si="22"/>
        <v>0</v>
      </c>
    </row>
    <row r="86" spans="1:26" x14ac:dyDescent="0.2">
      <c r="A86" s="699"/>
      <c r="B86" s="272" t="s">
        <v>376</v>
      </c>
      <c r="C86" s="230">
        <f t="shared" ref="C86:Z86" si="23">C$9-C75</f>
        <v>0</v>
      </c>
      <c r="D86" s="293">
        <f t="shared" si="23"/>
        <v>0</v>
      </c>
      <c r="E86" s="230">
        <f t="shared" si="23"/>
        <v>0</v>
      </c>
      <c r="F86" s="293">
        <f t="shared" si="23"/>
        <v>0</v>
      </c>
      <c r="G86" s="230">
        <f t="shared" si="23"/>
        <v>0</v>
      </c>
      <c r="H86" s="293">
        <f t="shared" si="23"/>
        <v>0</v>
      </c>
      <c r="I86" s="230">
        <f t="shared" si="23"/>
        <v>0</v>
      </c>
      <c r="J86" s="293">
        <f t="shared" si="23"/>
        <v>0</v>
      </c>
      <c r="K86" s="230">
        <f t="shared" si="23"/>
        <v>0</v>
      </c>
      <c r="L86" s="293">
        <f t="shared" si="23"/>
        <v>0</v>
      </c>
      <c r="M86" s="230">
        <f t="shared" si="23"/>
        <v>0</v>
      </c>
      <c r="N86" s="293">
        <f t="shared" si="23"/>
        <v>0</v>
      </c>
      <c r="O86" s="230">
        <f t="shared" si="23"/>
        <v>0</v>
      </c>
      <c r="P86" s="293">
        <f t="shared" si="23"/>
        <v>0</v>
      </c>
      <c r="Q86" s="230">
        <f t="shared" si="23"/>
        <v>0</v>
      </c>
      <c r="R86" s="293">
        <f t="shared" si="23"/>
        <v>0</v>
      </c>
      <c r="S86" s="230">
        <f t="shared" si="23"/>
        <v>0</v>
      </c>
      <c r="T86" s="293">
        <f t="shared" si="23"/>
        <v>0</v>
      </c>
      <c r="U86" s="230">
        <f t="shared" si="23"/>
        <v>0</v>
      </c>
      <c r="V86" s="293">
        <f t="shared" si="23"/>
        <v>0</v>
      </c>
      <c r="W86" s="230">
        <f t="shared" si="23"/>
        <v>0</v>
      </c>
      <c r="X86" s="293">
        <f t="shared" si="23"/>
        <v>0</v>
      </c>
      <c r="Y86" s="230">
        <f t="shared" si="23"/>
        <v>0</v>
      </c>
      <c r="Z86" s="293">
        <f t="shared" si="23"/>
        <v>0</v>
      </c>
    </row>
    <row r="87" spans="1:26" x14ac:dyDescent="0.2">
      <c r="A87" s="699"/>
      <c r="B87" s="272" t="s">
        <v>377</v>
      </c>
      <c r="C87" s="230">
        <f t="shared" ref="C87:Z87" si="24">C$10-C76</f>
        <v>10</v>
      </c>
      <c r="D87" s="293">
        <f t="shared" si="24"/>
        <v>9.9999999999999867E-2</v>
      </c>
      <c r="E87" s="230">
        <f t="shared" si="24"/>
        <v>29</v>
      </c>
      <c r="F87" s="293">
        <f t="shared" si="24"/>
        <v>0.10000000000000009</v>
      </c>
      <c r="G87" s="230">
        <f t="shared" si="24"/>
        <v>37</v>
      </c>
      <c r="H87" s="293">
        <f t="shared" si="24"/>
        <v>0.19999999999999996</v>
      </c>
      <c r="I87" s="230">
        <f t="shared" si="24"/>
        <v>118</v>
      </c>
      <c r="J87" s="293">
        <f t="shared" si="24"/>
        <v>0.10000000000000009</v>
      </c>
      <c r="K87" s="230">
        <f t="shared" si="24"/>
        <v>111</v>
      </c>
      <c r="L87" s="293">
        <f t="shared" si="24"/>
        <v>0</v>
      </c>
      <c r="M87" s="230">
        <f t="shared" si="24"/>
        <v>117</v>
      </c>
      <c r="N87" s="293">
        <f t="shared" si="24"/>
        <v>0</v>
      </c>
      <c r="O87" s="230">
        <f t="shared" si="24"/>
        <v>117</v>
      </c>
      <c r="P87" s="293">
        <f t="shared" si="24"/>
        <v>0</v>
      </c>
      <c r="Q87" s="230">
        <f t="shared" si="24"/>
        <v>120</v>
      </c>
      <c r="R87" s="293">
        <f t="shared" si="24"/>
        <v>0</v>
      </c>
      <c r="S87" s="230">
        <f t="shared" si="24"/>
        <v>124</v>
      </c>
      <c r="T87" s="293">
        <f t="shared" si="24"/>
        <v>9.9999999999999645E-2</v>
      </c>
      <c r="U87" s="230">
        <f t="shared" si="24"/>
        <v>289</v>
      </c>
      <c r="V87" s="293">
        <f t="shared" si="24"/>
        <v>0.10000000000000009</v>
      </c>
      <c r="W87" s="230">
        <f t="shared" si="24"/>
        <v>122</v>
      </c>
      <c r="X87" s="293">
        <f t="shared" si="24"/>
        <v>9.9999999999999645E-2</v>
      </c>
      <c r="Y87" s="230">
        <f t="shared" si="24"/>
        <v>114</v>
      </c>
      <c r="Z87" s="293">
        <f t="shared" si="24"/>
        <v>0</v>
      </c>
    </row>
    <row r="88" spans="1:26" x14ac:dyDescent="0.2">
      <c r="A88" s="699"/>
      <c r="B88" s="272" t="s">
        <v>378</v>
      </c>
      <c r="C88" s="230">
        <f t="shared" ref="C88:Z88" si="25">C$11-C77</f>
        <v>0</v>
      </c>
      <c r="D88" s="293">
        <f t="shared" si="25"/>
        <v>0</v>
      </c>
      <c r="E88" s="230">
        <f t="shared" si="25"/>
        <v>0</v>
      </c>
      <c r="F88" s="293">
        <f t="shared" si="25"/>
        <v>0</v>
      </c>
      <c r="G88" s="230">
        <f t="shared" si="25"/>
        <v>0</v>
      </c>
      <c r="H88" s="293">
        <f t="shared" si="25"/>
        <v>0</v>
      </c>
      <c r="I88" s="230">
        <f t="shared" si="25"/>
        <v>0</v>
      </c>
      <c r="J88" s="293">
        <f t="shared" si="25"/>
        <v>0</v>
      </c>
      <c r="K88" s="230">
        <f t="shared" si="25"/>
        <v>0</v>
      </c>
      <c r="L88" s="293">
        <f t="shared" si="25"/>
        <v>0</v>
      </c>
      <c r="M88" s="230">
        <f t="shared" si="25"/>
        <v>0</v>
      </c>
      <c r="N88" s="293">
        <f t="shared" si="25"/>
        <v>0</v>
      </c>
      <c r="O88" s="230">
        <f t="shared" si="25"/>
        <v>0</v>
      </c>
      <c r="P88" s="293">
        <f t="shared" si="25"/>
        <v>0</v>
      </c>
      <c r="Q88" s="230">
        <f t="shared" si="25"/>
        <v>0</v>
      </c>
      <c r="R88" s="293">
        <f t="shared" si="25"/>
        <v>0</v>
      </c>
      <c r="S88" s="230">
        <f t="shared" si="25"/>
        <v>0</v>
      </c>
      <c r="T88" s="293">
        <f t="shared" si="25"/>
        <v>0</v>
      </c>
      <c r="U88" s="230">
        <f t="shared" si="25"/>
        <v>0</v>
      </c>
      <c r="V88" s="293">
        <f t="shared" si="25"/>
        <v>0</v>
      </c>
      <c r="W88" s="230">
        <f t="shared" si="25"/>
        <v>0</v>
      </c>
      <c r="X88" s="293">
        <f t="shared" si="25"/>
        <v>0</v>
      </c>
      <c r="Y88" s="230">
        <f t="shared" si="25"/>
        <v>0</v>
      </c>
      <c r="Z88" s="293">
        <f t="shared" si="25"/>
        <v>0</v>
      </c>
    </row>
    <row r="89" spans="1:26" x14ac:dyDescent="0.2">
      <c r="A89" s="699"/>
      <c r="B89" s="272" t="s">
        <v>379</v>
      </c>
      <c r="C89" s="230">
        <f t="shared" ref="C89:Z89" si="26">C$12-C78</f>
        <v>0</v>
      </c>
      <c r="D89" s="293">
        <f t="shared" si="26"/>
        <v>0</v>
      </c>
      <c r="E89" s="230">
        <f t="shared" si="26"/>
        <v>0</v>
      </c>
      <c r="F89" s="293">
        <f t="shared" si="26"/>
        <v>0</v>
      </c>
      <c r="G89" s="230">
        <f t="shared" si="26"/>
        <v>0</v>
      </c>
      <c r="H89" s="293">
        <f t="shared" si="26"/>
        <v>0</v>
      </c>
      <c r="I89" s="230">
        <f t="shared" si="26"/>
        <v>0</v>
      </c>
      <c r="J89" s="293">
        <f t="shared" si="26"/>
        <v>0</v>
      </c>
      <c r="K89" s="230">
        <f t="shared" si="26"/>
        <v>0</v>
      </c>
      <c r="L89" s="293">
        <f t="shared" si="26"/>
        <v>0</v>
      </c>
      <c r="M89" s="230">
        <f t="shared" si="26"/>
        <v>0</v>
      </c>
      <c r="N89" s="293">
        <f t="shared" si="26"/>
        <v>0</v>
      </c>
      <c r="O89" s="230">
        <f t="shared" si="26"/>
        <v>0</v>
      </c>
      <c r="P89" s="293">
        <f t="shared" si="26"/>
        <v>0</v>
      </c>
      <c r="Q89" s="230">
        <f t="shared" si="26"/>
        <v>0</v>
      </c>
      <c r="R89" s="293">
        <f t="shared" si="26"/>
        <v>0</v>
      </c>
      <c r="S89" s="230">
        <f t="shared" si="26"/>
        <v>0</v>
      </c>
      <c r="T89" s="293">
        <f t="shared" si="26"/>
        <v>0</v>
      </c>
      <c r="U89" s="230">
        <f t="shared" si="26"/>
        <v>0</v>
      </c>
      <c r="V89" s="293">
        <f t="shared" si="26"/>
        <v>0</v>
      </c>
      <c r="W89" s="230">
        <f t="shared" si="26"/>
        <v>0</v>
      </c>
      <c r="X89" s="293">
        <f t="shared" si="26"/>
        <v>0</v>
      </c>
      <c r="Y89" s="230">
        <f t="shared" si="26"/>
        <v>0</v>
      </c>
      <c r="Z89" s="293">
        <f t="shared" si="26"/>
        <v>0</v>
      </c>
    </row>
    <row r="90" spans="1:26" x14ac:dyDescent="0.2">
      <c r="A90" s="699"/>
      <c r="B90" s="272" t="s">
        <v>380</v>
      </c>
      <c r="C90" s="230">
        <f t="shared" ref="C90:Z90" si="27">C$13-C79</f>
        <v>0</v>
      </c>
      <c r="D90" s="293">
        <f t="shared" si="27"/>
        <v>0</v>
      </c>
      <c r="E90" s="230">
        <f t="shared" si="27"/>
        <v>0</v>
      </c>
      <c r="F90" s="293">
        <f t="shared" si="27"/>
        <v>0</v>
      </c>
      <c r="G90" s="230">
        <f t="shared" si="27"/>
        <v>0</v>
      </c>
      <c r="H90" s="293">
        <f t="shared" si="27"/>
        <v>0</v>
      </c>
      <c r="I90" s="230">
        <f t="shared" si="27"/>
        <v>0</v>
      </c>
      <c r="J90" s="293">
        <f t="shared" si="27"/>
        <v>0</v>
      </c>
      <c r="K90" s="230">
        <f t="shared" si="27"/>
        <v>0</v>
      </c>
      <c r="L90" s="293">
        <f t="shared" si="27"/>
        <v>0</v>
      </c>
      <c r="M90" s="230">
        <f t="shared" si="27"/>
        <v>0</v>
      </c>
      <c r="N90" s="293">
        <f t="shared" si="27"/>
        <v>0</v>
      </c>
      <c r="O90" s="230">
        <f t="shared" si="27"/>
        <v>0</v>
      </c>
      <c r="P90" s="293">
        <f t="shared" si="27"/>
        <v>0</v>
      </c>
      <c r="Q90" s="230">
        <f t="shared" si="27"/>
        <v>0</v>
      </c>
      <c r="R90" s="293">
        <f t="shared" si="27"/>
        <v>0</v>
      </c>
      <c r="S90" s="230">
        <f t="shared" si="27"/>
        <v>0</v>
      </c>
      <c r="T90" s="293">
        <f t="shared" si="27"/>
        <v>0</v>
      </c>
      <c r="U90" s="230">
        <f t="shared" si="27"/>
        <v>0</v>
      </c>
      <c r="V90" s="293">
        <f t="shared" si="27"/>
        <v>0</v>
      </c>
      <c r="W90" s="230">
        <f t="shared" si="27"/>
        <v>0</v>
      </c>
      <c r="X90" s="293">
        <f t="shared" si="27"/>
        <v>0</v>
      </c>
      <c r="Y90" s="230">
        <f t="shared" si="27"/>
        <v>0</v>
      </c>
      <c r="Z90" s="293">
        <f t="shared" si="27"/>
        <v>0</v>
      </c>
    </row>
    <row r="91" spans="1:26" x14ac:dyDescent="0.2">
      <c r="A91" s="699"/>
      <c r="B91" s="272" t="s">
        <v>381</v>
      </c>
      <c r="C91" s="230">
        <f t="shared" ref="C91:Z91" si="28">C$14-C80</f>
        <v>0</v>
      </c>
      <c r="D91" s="293">
        <f t="shared" si="28"/>
        <v>0</v>
      </c>
      <c r="E91" s="230">
        <f t="shared" si="28"/>
        <v>0</v>
      </c>
      <c r="F91" s="293">
        <f t="shared" si="28"/>
        <v>0</v>
      </c>
      <c r="G91" s="230">
        <f t="shared" si="28"/>
        <v>0</v>
      </c>
      <c r="H91" s="293">
        <f t="shared" si="28"/>
        <v>0</v>
      </c>
      <c r="I91" s="230">
        <f t="shared" si="28"/>
        <v>0</v>
      </c>
      <c r="J91" s="293">
        <f t="shared" si="28"/>
        <v>0</v>
      </c>
      <c r="K91" s="230">
        <f t="shared" si="28"/>
        <v>0</v>
      </c>
      <c r="L91" s="293">
        <f t="shared" si="28"/>
        <v>0</v>
      </c>
      <c r="M91" s="230">
        <f t="shared" si="28"/>
        <v>0</v>
      </c>
      <c r="N91" s="293">
        <f t="shared" si="28"/>
        <v>0</v>
      </c>
      <c r="O91" s="230">
        <f t="shared" si="28"/>
        <v>0</v>
      </c>
      <c r="P91" s="293">
        <f t="shared" si="28"/>
        <v>0</v>
      </c>
      <c r="Q91" s="230">
        <f t="shared" si="28"/>
        <v>0</v>
      </c>
      <c r="R91" s="293">
        <f t="shared" si="28"/>
        <v>0</v>
      </c>
      <c r="S91" s="230">
        <f t="shared" si="28"/>
        <v>0</v>
      </c>
      <c r="T91" s="293">
        <f t="shared" si="28"/>
        <v>0</v>
      </c>
      <c r="U91" s="230">
        <f t="shared" si="28"/>
        <v>0</v>
      </c>
      <c r="V91" s="293">
        <f t="shared" si="28"/>
        <v>0</v>
      </c>
      <c r="W91" s="230">
        <f t="shared" si="28"/>
        <v>0</v>
      </c>
      <c r="X91" s="293">
        <f t="shared" si="28"/>
        <v>0</v>
      </c>
      <c r="Y91" s="230">
        <f t="shared" si="28"/>
        <v>0</v>
      </c>
      <c r="Z91" s="293">
        <f t="shared" si="28"/>
        <v>0</v>
      </c>
    </row>
    <row r="92" spans="1:26" s="20" customFormat="1" x14ac:dyDescent="0.2">
      <c r="A92" s="700"/>
      <c r="B92" s="274" t="s">
        <v>382</v>
      </c>
      <c r="C92" s="275">
        <f t="shared" ref="C92:Z92" si="29">C$15-C81</f>
        <v>2103</v>
      </c>
      <c r="D92" s="294">
        <f t="shared" si="29"/>
        <v>13.099999999999994</v>
      </c>
      <c r="E92" s="275">
        <f t="shared" si="29"/>
        <v>7416</v>
      </c>
      <c r="F92" s="294">
        <f t="shared" si="29"/>
        <v>8.3000000000000114</v>
      </c>
      <c r="G92" s="275">
        <f t="shared" si="29"/>
        <v>7761</v>
      </c>
      <c r="H92" s="294">
        <f t="shared" si="29"/>
        <v>25.800000000000011</v>
      </c>
      <c r="I92" s="275">
        <f t="shared" si="29"/>
        <v>28638</v>
      </c>
      <c r="J92" s="294">
        <f t="shared" si="29"/>
        <v>8</v>
      </c>
      <c r="K92" s="275">
        <f t="shared" si="29"/>
        <v>28231</v>
      </c>
      <c r="L92" s="294">
        <f t="shared" si="29"/>
        <v>11.699999999999989</v>
      </c>
      <c r="M92" s="275">
        <f t="shared" si="29"/>
        <v>29947</v>
      </c>
      <c r="N92" s="294">
        <f t="shared" si="29"/>
        <v>8.3000000000000114</v>
      </c>
      <c r="O92" s="275">
        <f t="shared" si="29"/>
        <v>32605</v>
      </c>
      <c r="P92" s="294">
        <f t="shared" si="29"/>
        <v>9</v>
      </c>
      <c r="Q92" s="275">
        <f t="shared" si="29"/>
        <v>30088</v>
      </c>
      <c r="R92" s="294">
        <f t="shared" si="29"/>
        <v>12.599999999999966</v>
      </c>
      <c r="S92" s="275">
        <f t="shared" si="29"/>
        <v>33932</v>
      </c>
      <c r="T92" s="294">
        <f t="shared" si="29"/>
        <v>14.199999999999989</v>
      </c>
      <c r="U92" s="275">
        <f t="shared" si="29"/>
        <v>66993</v>
      </c>
      <c r="V92" s="294">
        <f t="shared" si="29"/>
        <v>21</v>
      </c>
      <c r="W92" s="275">
        <f t="shared" si="29"/>
        <v>31840</v>
      </c>
      <c r="X92" s="294">
        <f t="shared" si="29"/>
        <v>8.8000000000000114</v>
      </c>
      <c r="Y92" s="275">
        <f t="shared" si="29"/>
        <v>30977</v>
      </c>
      <c r="Z92" s="294">
        <f t="shared" si="29"/>
        <v>12.899999999999977</v>
      </c>
    </row>
    <row r="93" spans="1:26" s="20" customFormat="1" x14ac:dyDescent="0.2">
      <c r="A93" s="266"/>
      <c r="B93" s="227"/>
      <c r="C93" s="267"/>
      <c r="D93" s="232"/>
      <c r="E93" s="268"/>
      <c r="F93" s="237"/>
      <c r="G93" s="267"/>
      <c r="H93" s="232"/>
      <c r="I93" s="267"/>
      <c r="J93" s="232"/>
      <c r="K93" s="267"/>
      <c r="L93" s="232"/>
      <c r="M93" s="267"/>
      <c r="N93" s="232"/>
      <c r="O93" s="267"/>
      <c r="P93" s="232"/>
      <c r="Q93" s="267"/>
      <c r="R93" s="232"/>
      <c r="S93" s="267"/>
      <c r="T93" s="232"/>
      <c r="U93" s="267"/>
      <c r="V93" s="232"/>
      <c r="W93" s="267"/>
      <c r="X93" s="232"/>
      <c r="Y93" s="267"/>
      <c r="Z93" s="232"/>
    </row>
    <row r="94" spans="1:26" s="202" customFormat="1" ht="13.15" customHeight="1" x14ac:dyDescent="0.2">
      <c r="A94" s="698" t="s">
        <v>513</v>
      </c>
      <c r="B94" s="269" t="s">
        <v>488</v>
      </c>
      <c r="C94" s="304" t="s">
        <v>486</v>
      </c>
      <c r="D94" s="314" t="s">
        <v>487</v>
      </c>
      <c r="E94" s="382" t="s">
        <v>486</v>
      </c>
      <c r="F94" s="280" t="s">
        <v>487</v>
      </c>
      <c r="G94" s="304" t="s">
        <v>486</v>
      </c>
      <c r="H94" s="280" t="s">
        <v>487</v>
      </c>
      <c r="I94" s="304" t="s">
        <v>486</v>
      </c>
      <c r="J94" s="280" t="s">
        <v>487</v>
      </c>
      <c r="K94" s="304" t="s">
        <v>486</v>
      </c>
      <c r="L94" s="314" t="s">
        <v>487</v>
      </c>
      <c r="M94" s="382" t="s">
        <v>486</v>
      </c>
      <c r="N94" s="280" t="s">
        <v>487</v>
      </c>
      <c r="O94" s="304" t="s">
        <v>486</v>
      </c>
      <c r="P94" s="314" t="s">
        <v>487</v>
      </c>
      <c r="Q94" s="382" t="s">
        <v>486</v>
      </c>
      <c r="R94" s="280" t="s">
        <v>487</v>
      </c>
      <c r="S94" s="304" t="s">
        <v>486</v>
      </c>
      <c r="T94" s="314" t="s">
        <v>487</v>
      </c>
      <c r="U94" s="382" t="s">
        <v>486</v>
      </c>
      <c r="V94" s="280" t="s">
        <v>487</v>
      </c>
      <c r="W94" s="304" t="s">
        <v>486</v>
      </c>
      <c r="X94" s="280" t="s">
        <v>487</v>
      </c>
      <c r="Y94" s="304" t="s">
        <v>486</v>
      </c>
      <c r="Z94" s="314" t="s">
        <v>487</v>
      </c>
    </row>
    <row r="95" spans="1:26" x14ac:dyDescent="0.2">
      <c r="A95" s="699"/>
      <c r="B95" s="144" t="s">
        <v>265</v>
      </c>
      <c r="C95" s="305">
        <f>'6 Oversikt startpunkt'!B46</f>
        <v>2.8</v>
      </c>
      <c r="D95" s="312">
        <f>'7 Passivhusnivå'!C30</f>
        <v>0.75</v>
      </c>
      <c r="E95" s="367">
        <f>'6 Oversikt startpunkt'!C46</f>
        <v>2.8</v>
      </c>
      <c r="F95" s="270">
        <f>'7 Passivhusnivå'!D30</f>
        <v>0.8</v>
      </c>
      <c r="G95" s="305">
        <f>'6 Oversikt startpunkt'!D46</f>
        <v>2.8</v>
      </c>
      <c r="H95" s="270">
        <f>'7 Passivhusnivå'!F30</f>
        <v>0.8</v>
      </c>
      <c r="I95" s="305">
        <f>'6 Oversikt startpunkt'!E46</f>
        <v>2.8</v>
      </c>
      <c r="J95" s="270">
        <f>'7 Passivhusnivå'!G30</f>
        <v>0.8</v>
      </c>
      <c r="K95" s="243">
        <f>'6 Oversikt startpunkt'!F46</f>
        <v>2.8</v>
      </c>
      <c r="L95" s="312">
        <f>'7 Passivhusnivå'!H30</f>
        <v>0.8</v>
      </c>
      <c r="M95" s="271">
        <f>'6 Oversikt startpunkt'!G46</f>
        <v>2.8</v>
      </c>
      <c r="N95" s="270">
        <f>'7 Passivhusnivå'!I30</f>
        <v>0.8</v>
      </c>
      <c r="O95" s="243">
        <f>'6 Oversikt startpunkt'!H46</f>
        <v>2.8</v>
      </c>
      <c r="P95" s="312">
        <f>'7 Passivhusnivå'!J30</f>
        <v>0.8</v>
      </c>
      <c r="Q95" s="271">
        <f>'6 Oversikt startpunkt'!I46</f>
        <v>2.8</v>
      </c>
      <c r="R95" s="270">
        <f>'7 Passivhusnivå'!K30</f>
        <v>0.8</v>
      </c>
      <c r="S95" s="243">
        <f>'6 Oversikt startpunkt'!J46</f>
        <v>2.8</v>
      </c>
      <c r="T95" s="312">
        <f>'7 Passivhusnivå'!L30</f>
        <v>0.8</v>
      </c>
      <c r="U95" s="271">
        <f>'6 Oversikt startpunkt'!K46</f>
        <v>2.8</v>
      </c>
      <c r="V95" s="270">
        <f>'7 Passivhusnivå'!M30</f>
        <v>0.8</v>
      </c>
      <c r="W95" s="243">
        <f>'6 Oversikt startpunkt'!L46</f>
        <v>2.8</v>
      </c>
      <c r="X95" s="312">
        <f>'7 Passivhusnivå'!N30</f>
        <v>0.8</v>
      </c>
      <c r="Y95" s="243">
        <f>'6 Oversikt startpunkt'!M46</f>
        <v>2.8</v>
      </c>
      <c r="Z95" s="312">
        <f>'7 Passivhusnivå'!O30</f>
        <v>0.8</v>
      </c>
    </row>
    <row r="96" spans="1:26" x14ac:dyDescent="0.2">
      <c r="A96" s="699"/>
      <c r="B96" s="144" t="s">
        <v>13</v>
      </c>
      <c r="C96" s="305">
        <f t="shared" ref="C96:Z96" si="30">C19</f>
        <v>5</v>
      </c>
      <c r="D96" s="312">
        <f t="shared" si="30"/>
        <v>2.8</v>
      </c>
      <c r="E96" s="367">
        <f t="shared" si="30"/>
        <v>2.5</v>
      </c>
      <c r="F96" s="270">
        <f t="shared" si="30"/>
        <v>1.55</v>
      </c>
      <c r="G96" s="305">
        <f t="shared" si="30"/>
        <v>3</v>
      </c>
      <c r="H96" s="270">
        <f t="shared" si="30"/>
        <v>1.8</v>
      </c>
      <c r="I96" s="305">
        <f t="shared" si="30"/>
        <v>2.5</v>
      </c>
      <c r="J96" s="270">
        <f t="shared" si="30"/>
        <v>1.55</v>
      </c>
      <c r="K96" s="305">
        <f t="shared" si="30"/>
        <v>3</v>
      </c>
      <c r="L96" s="312">
        <f t="shared" si="30"/>
        <v>1.8</v>
      </c>
      <c r="M96" s="367">
        <f t="shared" si="30"/>
        <v>2.5</v>
      </c>
      <c r="N96" s="270">
        <f t="shared" si="30"/>
        <v>1.55</v>
      </c>
      <c r="O96" s="305">
        <f t="shared" si="30"/>
        <v>2.5</v>
      </c>
      <c r="P96" s="312">
        <f t="shared" si="30"/>
        <v>1.55</v>
      </c>
      <c r="Q96" s="367">
        <f t="shared" si="30"/>
        <v>3</v>
      </c>
      <c r="R96" s="270">
        <f t="shared" si="30"/>
        <v>1.8</v>
      </c>
      <c r="S96" s="305">
        <f t="shared" si="30"/>
        <v>3</v>
      </c>
      <c r="T96" s="312">
        <f t="shared" si="30"/>
        <v>1.8</v>
      </c>
      <c r="U96" s="367">
        <f t="shared" si="30"/>
        <v>3</v>
      </c>
      <c r="V96" s="270">
        <f t="shared" si="30"/>
        <v>1.8</v>
      </c>
      <c r="W96" s="305">
        <f t="shared" si="30"/>
        <v>2.5</v>
      </c>
      <c r="X96" s="270">
        <f t="shared" si="30"/>
        <v>1.55</v>
      </c>
      <c r="Y96" s="305">
        <f t="shared" si="30"/>
        <v>3</v>
      </c>
      <c r="Z96" s="312">
        <f t="shared" si="30"/>
        <v>1.8</v>
      </c>
    </row>
    <row r="97" spans="1:26" x14ac:dyDescent="0.2">
      <c r="A97" s="699"/>
      <c r="B97" s="144" t="s">
        <v>580</v>
      </c>
      <c r="C97" s="305">
        <f>'6 Oversikt startpunkt'!B60</f>
        <v>0.75</v>
      </c>
      <c r="D97" s="312">
        <f>'7 Passivhusnivå'!C44</f>
        <v>0.5</v>
      </c>
      <c r="E97" s="367">
        <f>'6 Oversikt startpunkt'!C60</f>
        <v>0.75</v>
      </c>
      <c r="F97" s="270">
        <f>'7 Passivhusnivå'!D44</f>
        <v>0.5</v>
      </c>
      <c r="G97" s="305">
        <f>'6 Oversikt startpunkt'!D60</f>
        <v>0.75</v>
      </c>
      <c r="H97" s="270">
        <f>'7 Passivhusnivå'!F44</f>
        <v>0.45</v>
      </c>
      <c r="I97" s="305"/>
      <c r="J97" s="270"/>
      <c r="M97" s="367"/>
      <c r="N97" s="270"/>
      <c r="O97" s="305"/>
      <c r="P97" s="312"/>
      <c r="S97" s="305"/>
      <c r="T97" s="312"/>
      <c r="W97" s="305"/>
      <c r="X97" s="270"/>
      <c r="Y97" s="305"/>
      <c r="Z97" s="312"/>
    </row>
    <row r="98" spans="1:26" x14ac:dyDescent="0.2">
      <c r="A98" s="699"/>
      <c r="B98" s="144" t="s">
        <v>582</v>
      </c>
      <c r="C98" s="305"/>
      <c r="D98" s="312"/>
      <c r="E98" s="367"/>
      <c r="F98" s="270"/>
      <c r="G98" s="367"/>
      <c r="H98" s="270"/>
      <c r="I98" s="305">
        <v>0.15</v>
      </c>
      <c r="J98" s="270">
        <v>0.08</v>
      </c>
      <c r="K98" s="305">
        <v>0.15</v>
      </c>
      <c r="L98" s="270">
        <v>0.08</v>
      </c>
      <c r="M98" s="305">
        <v>0.15</v>
      </c>
      <c r="N98" s="270">
        <v>0.08</v>
      </c>
      <c r="O98" s="305">
        <v>0.15</v>
      </c>
      <c r="P98" s="270">
        <v>0.08</v>
      </c>
      <c r="Q98" s="305">
        <v>0.15</v>
      </c>
      <c r="R98" s="270">
        <v>0.08</v>
      </c>
      <c r="S98" s="305">
        <v>0.15</v>
      </c>
      <c r="T98" s="270">
        <v>0.08</v>
      </c>
      <c r="U98" s="305">
        <v>0.15</v>
      </c>
      <c r="V98" s="270">
        <v>0.08</v>
      </c>
      <c r="W98" s="305">
        <v>0.15</v>
      </c>
      <c r="X98" s="270">
        <v>0.08</v>
      </c>
      <c r="Y98" s="305">
        <v>0.15</v>
      </c>
      <c r="Z98" s="270">
        <v>0.08</v>
      </c>
    </row>
    <row r="99" spans="1:26" x14ac:dyDescent="0.2">
      <c r="A99" s="699"/>
      <c r="B99" s="316" t="s">
        <v>581</v>
      </c>
      <c r="C99" s="315"/>
      <c r="D99" s="383"/>
      <c r="I99" s="305">
        <f>'6 Oversikt startpunkt'!E60</f>
        <v>0.75</v>
      </c>
      <c r="J99" s="270">
        <f>'7 Passivhusnivå'!G44</f>
        <v>0.45</v>
      </c>
      <c r="K99" s="243">
        <f>'6 Oversikt startpunkt'!F60</f>
        <v>0.75</v>
      </c>
      <c r="L99" s="312">
        <f>'7 Passivhusnivå'!H44</f>
        <v>0.45</v>
      </c>
      <c r="M99" s="271">
        <f>'6 Oversikt startpunkt'!G60</f>
        <v>0.75</v>
      </c>
      <c r="N99" s="270">
        <f>'7 Passivhusnivå'!I44</f>
        <v>0.45</v>
      </c>
      <c r="O99" s="315">
        <f>'6 Oversikt startpunkt'!H60</f>
        <v>0.75</v>
      </c>
      <c r="P99" s="313">
        <f>'7 Passivhusnivå'!J44</f>
        <v>0.45</v>
      </c>
      <c r="Q99" s="271">
        <f>'6 Oversikt startpunkt'!I60</f>
        <v>0.75</v>
      </c>
      <c r="R99" s="270">
        <f>'7 Passivhusnivå'!K44</f>
        <v>0.45</v>
      </c>
      <c r="S99" s="315">
        <f>'6 Oversikt startpunkt'!J60</f>
        <v>0.75</v>
      </c>
      <c r="T99" s="313">
        <f>'7 Passivhusnivå'!L44</f>
        <v>0.45</v>
      </c>
      <c r="U99" s="271">
        <f>'6 Oversikt startpunkt'!K60</f>
        <v>0.75</v>
      </c>
      <c r="V99" s="270">
        <f>'7 Passivhusnivå'!M44</f>
        <v>0.45</v>
      </c>
      <c r="W99" s="243">
        <f>'6 Oversikt startpunkt'!L60</f>
        <v>0.75</v>
      </c>
      <c r="X99" s="312">
        <f>'7 Passivhusnivå'!N44</f>
        <v>0.45</v>
      </c>
      <c r="Y99" s="315">
        <f>'6 Oversikt startpunkt'!M60</f>
        <v>0.75</v>
      </c>
      <c r="Z99" s="313">
        <f>'7 Passivhusnivå'!O44</f>
        <v>0.45</v>
      </c>
    </row>
    <row r="100" spans="1:26" s="216" customFormat="1" x14ac:dyDescent="0.2">
      <c r="A100" s="699"/>
      <c r="B100" s="288" t="s">
        <v>490</v>
      </c>
      <c r="C100" s="289" t="s">
        <v>372</v>
      </c>
      <c r="D100" s="290" t="s">
        <v>397</v>
      </c>
      <c r="E100" s="289" t="s">
        <v>372</v>
      </c>
      <c r="F100" s="291" t="s">
        <v>397</v>
      </c>
      <c r="G100" s="292" t="s">
        <v>372</v>
      </c>
      <c r="H100" s="290" t="s">
        <v>397</v>
      </c>
      <c r="I100" s="289" t="s">
        <v>372</v>
      </c>
      <c r="J100" s="291" t="s">
        <v>397</v>
      </c>
      <c r="K100" s="292" t="s">
        <v>372</v>
      </c>
      <c r="L100" s="290" t="s">
        <v>397</v>
      </c>
      <c r="M100" s="289" t="s">
        <v>372</v>
      </c>
      <c r="N100" s="290" t="s">
        <v>397</v>
      </c>
      <c r="O100" s="289" t="s">
        <v>372</v>
      </c>
      <c r="P100" s="290" t="s">
        <v>397</v>
      </c>
      <c r="Q100" s="289" t="s">
        <v>372</v>
      </c>
      <c r="R100" s="290" t="s">
        <v>397</v>
      </c>
      <c r="S100" s="289" t="s">
        <v>372</v>
      </c>
      <c r="T100" s="290" t="s">
        <v>397</v>
      </c>
      <c r="U100" s="289" t="s">
        <v>372</v>
      </c>
      <c r="V100" s="290" t="s">
        <v>397</v>
      </c>
      <c r="W100" s="289" t="s">
        <v>372</v>
      </c>
      <c r="X100" s="290" t="s">
        <v>397</v>
      </c>
      <c r="Y100" s="289" t="s">
        <v>372</v>
      </c>
      <c r="Z100" s="291" t="s">
        <v>397</v>
      </c>
    </row>
    <row r="101" spans="1:26" x14ac:dyDescent="0.2">
      <c r="A101" s="699"/>
      <c r="B101" s="272" t="s">
        <v>373</v>
      </c>
      <c r="C101" s="230">
        <v>21043</v>
      </c>
      <c r="D101" s="231">
        <v>131.5</v>
      </c>
      <c r="E101" s="230">
        <v>115637</v>
      </c>
      <c r="F101" s="273">
        <v>128.5</v>
      </c>
      <c r="G101" s="285">
        <v>34172</v>
      </c>
      <c r="H101" s="231">
        <v>113.9</v>
      </c>
      <c r="I101" s="230">
        <v>179175</v>
      </c>
      <c r="J101" s="273">
        <v>49.8</v>
      </c>
      <c r="K101" s="285">
        <v>165141</v>
      </c>
      <c r="L101" s="231">
        <v>68.8</v>
      </c>
      <c r="M101" s="230">
        <v>206751</v>
      </c>
      <c r="N101" s="231">
        <v>57.4</v>
      </c>
      <c r="O101" s="230">
        <v>387935</v>
      </c>
      <c r="P101" s="231">
        <v>107.8</v>
      </c>
      <c r="Q101" s="230">
        <v>146541</v>
      </c>
      <c r="R101" s="231">
        <v>61.1</v>
      </c>
      <c r="S101" s="230">
        <v>240179</v>
      </c>
      <c r="T101" s="231">
        <v>100.1</v>
      </c>
      <c r="U101" s="230">
        <v>472751</v>
      </c>
      <c r="V101" s="231">
        <v>147.69999999999999</v>
      </c>
      <c r="W101" s="230">
        <v>274845</v>
      </c>
      <c r="X101" s="231">
        <v>76.3</v>
      </c>
      <c r="Y101" s="230">
        <v>257640</v>
      </c>
      <c r="Z101" s="273">
        <v>107.3</v>
      </c>
    </row>
    <row r="102" spans="1:26" x14ac:dyDescent="0.2">
      <c r="A102" s="699"/>
      <c r="B102" s="272" t="s">
        <v>374</v>
      </c>
      <c r="C102" s="230">
        <v>0</v>
      </c>
      <c r="D102" s="231">
        <v>0</v>
      </c>
      <c r="E102" s="230">
        <v>0</v>
      </c>
      <c r="F102" s="273">
        <v>0</v>
      </c>
      <c r="G102" s="285">
        <v>8815</v>
      </c>
      <c r="H102" s="231">
        <v>29.4</v>
      </c>
      <c r="I102" s="230">
        <v>103821</v>
      </c>
      <c r="J102" s="273">
        <v>28.8</v>
      </c>
      <c r="K102" s="285">
        <v>87851</v>
      </c>
      <c r="L102" s="231">
        <v>36.6</v>
      </c>
      <c r="M102" s="230">
        <v>136045</v>
      </c>
      <c r="N102" s="231">
        <v>37.799999999999997</v>
      </c>
      <c r="O102" s="230">
        <v>343166</v>
      </c>
      <c r="P102" s="231">
        <v>95.3</v>
      </c>
      <c r="Q102" s="230">
        <v>206501</v>
      </c>
      <c r="R102" s="231">
        <v>86</v>
      </c>
      <c r="S102" s="230">
        <v>130073</v>
      </c>
      <c r="T102" s="231">
        <v>54.2</v>
      </c>
      <c r="U102" s="230">
        <v>137720</v>
      </c>
      <c r="V102" s="231">
        <v>43</v>
      </c>
      <c r="W102" s="230">
        <v>239510</v>
      </c>
      <c r="X102" s="231">
        <v>66.5</v>
      </c>
      <c r="Y102" s="230">
        <v>73878</v>
      </c>
      <c r="Z102" s="273">
        <v>30.8</v>
      </c>
    </row>
    <row r="103" spans="1:26" x14ac:dyDescent="0.2">
      <c r="A103" s="699"/>
      <c r="B103" s="272" t="s">
        <v>375</v>
      </c>
      <c r="C103" s="230">
        <v>4765</v>
      </c>
      <c r="D103" s="231">
        <v>29.8</v>
      </c>
      <c r="E103" s="230">
        <v>26792</v>
      </c>
      <c r="F103" s="273">
        <v>29.8</v>
      </c>
      <c r="G103" s="285">
        <v>3007</v>
      </c>
      <c r="H103" s="231">
        <v>10</v>
      </c>
      <c r="I103" s="230">
        <v>18040</v>
      </c>
      <c r="J103" s="273">
        <v>5</v>
      </c>
      <c r="K103" s="285">
        <v>23530</v>
      </c>
      <c r="L103" s="231">
        <v>9.8000000000000007</v>
      </c>
      <c r="M103" s="230">
        <v>18040</v>
      </c>
      <c r="N103" s="231">
        <v>5</v>
      </c>
      <c r="O103" s="230">
        <v>107170</v>
      </c>
      <c r="P103" s="231">
        <v>29.8</v>
      </c>
      <c r="Q103" s="230">
        <v>71482</v>
      </c>
      <c r="R103" s="231">
        <v>29.8</v>
      </c>
      <c r="S103" s="230">
        <v>71482</v>
      </c>
      <c r="T103" s="231">
        <v>29.8</v>
      </c>
      <c r="U103" s="230">
        <v>156864</v>
      </c>
      <c r="V103" s="231">
        <v>49</v>
      </c>
      <c r="W103" s="230">
        <v>36408</v>
      </c>
      <c r="X103" s="231">
        <v>10.1</v>
      </c>
      <c r="Y103" s="230">
        <v>24054</v>
      </c>
      <c r="Z103" s="273">
        <v>10</v>
      </c>
    </row>
    <row r="104" spans="1:26" x14ac:dyDescent="0.2">
      <c r="A104" s="699"/>
      <c r="B104" s="272" t="s">
        <v>376</v>
      </c>
      <c r="C104" s="230">
        <v>0</v>
      </c>
      <c r="D104" s="231">
        <v>0</v>
      </c>
      <c r="E104" s="230">
        <v>0</v>
      </c>
      <c r="F104" s="273">
        <v>0</v>
      </c>
      <c r="G104" s="285">
        <v>10505</v>
      </c>
      <c r="H104" s="231">
        <v>35</v>
      </c>
      <c r="I104" s="230">
        <v>123343</v>
      </c>
      <c r="J104" s="273">
        <v>34.299999999999997</v>
      </c>
      <c r="K104" s="285">
        <v>92310</v>
      </c>
      <c r="L104" s="231">
        <v>38.5</v>
      </c>
      <c r="M104" s="230">
        <v>160332</v>
      </c>
      <c r="N104" s="231">
        <v>44.5</v>
      </c>
      <c r="O104" s="230">
        <v>369461</v>
      </c>
      <c r="P104" s="231">
        <v>102.6</v>
      </c>
      <c r="Q104" s="230">
        <v>216212</v>
      </c>
      <c r="R104" s="231">
        <v>90.1</v>
      </c>
      <c r="S104" s="230">
        <v>149037</v>
      </c>
      <c r="T104" s="231">
        <v>62.1</v>
      </c>
      <c r="U104" s="230">
        <v>108368</v>
      </c>
      <c r="V104" s="231">
        <v>33.9</v>
      </c>
      <c r="W104" s="230">
        <v>294892</v>
      </c>
      <c r="X104" s="231">
        <v>81.900000000000006</v>
      </c>
      <c r="Y104" s="230">
        <v>91350</v>
      </c>
      <c r="Z104" s="273">
        <v>38.1</v>
      </c>
    </row>
    <row r="105" spans="1:26" x14ac:dyDescent="0.2">
      <c r="A105" s="699"/>
      <c r="B105" s="272" t="s">
        <v>377</v>
      </c>
      <c r="C105" s="230">
        <v>137</v>
      </c>
      <c r="D105" s="231">
        <v>0.9</v>
      </c>
      <c r="E105" s="230">
        <v>710</v>
      </c>
      <c r="F105" s="273">
        <v>0.8</v>
      </c>
      <c r="G105" s="285">
        <v>432</v>
      </c>
      <c r="H105" s="231">
        <v>1.4</v>
      </c>
      <c r="I105" s="230">
        <v>10343</v>
      </c>
      <c r="J105" s="273">
        <v>2.9</v>
      </c>
      <c r="K105" s="285">
        <v>3621</v>
      </c>
      <c r="L105" s="231">
        <v>1.5</v>
      </c>
      <c r="M105" s="230">
        <v>12395</v>
      </c>
      <c r="N105" s="231">
        <v>3.4</v>
      </c>
      <c r="O105" s="230">
        <v>15683</v>
      </c>
      <c r="P105" s="231">
        <v>4.4000000000000004</v>
      </c>
      <c r="Q105" s="230">
        <v>2877</v>
      </c>
      <c r="R105" s="231">
        <v>1.2</v>
      </c>
      <c r="S105" s="230">
        <v>12362</v>
      </c>
      <c r="T105" s="231">
        <v>5.2</v>
      </c>
      <c r="U105" s="230">
        <v>5328</v>
      </c>
      <c r="V105" s="231">
        <v>1.7</v>
      </c>
      <c r="W105" s="230">
        <v>17087</v>
      </c>
      <c r="X105" s="231">
        <v>4.7</v>
      </c>
      <c r="Y105" s="230">
        <v>7907</v>
      </c>
      <c r="Z105" s="273">
        <v>3.3</v>
      </c>
    </row>
    <row r="106" spans="1:26" x14ac:dyDescent="0.2">
      <c r="A106" s="699"/>
      <c r="B106" s="272" t="s">
        <v>378</v>
      </c>
      <c r="C106" s="230">
        <v>1993</v>
      </c>
      <c r="D106" s="231">
        <v>12.5</v>
      </c>
      <c r="E106" s="230">
        <v>11214</v>
      </c>
      <c r="F106" s="273">
        <v>12.5</v>
      </c>
      <c r="G106" s="285">
        <v>10805</v>
      </c>
      <c r="H106" s="231">
        <v>36</v>
      </c>
      <c r="I106" s="230">
        <v>152215</v>
      </c>
      <c r="J106" s="273">
        <v>42.3</v>
      </c>
      <c r="K106" s="285">
        <v>89010</v>
      </c>
      <c r="L106" s="231">
        <v>37.1</v>
      </c>
      <c r="M106" s="230">
        <v>152215</v>
      </c>
      <c r="N106" s="231">
        <v>42.3</v>
      </c>
      <c r="O106" s="230">
        <v>275951</v>
      </c>
      <c r="P106" s="231">
        <v>76.7</v>
      </c>
      <c r="Q106" s="230">
        <v>183960</v>
      </c>
      <c r="R106" s="231">
        <v>76.7</v>
      </c>
      <c r="S106" s="230">
        <v>183960</v>
      </c>
      <c r="T106" s="231">
        <v>76.7</v>
      </c>
      <c r="U106" s="230">
        <v>111456</v>
      </c>
      <c r="V106" s="231">
        <v>34.799999999999997</v>
      </c>
      <c r="W106" s="230">
        <v>341223</v>
      </c>
      <c r="X106" s="231">
        <v>94.8</v>
      </c>
      <c r="Y106" s="230">
        <v>93960</v>
      </c>
      <c r="Z106" s="273">
        <v>39.1</v>
      </c>
    </row>
    <row r="107" spans="1:26" x14ac:dyDescent="0.2">
      <c r="A107" s="699"/>
      <c r="B107" s="272" t="s">
        <v>379</v>
      </c>
      <c r="C107" s="230">
        <v>3066</v>
      </c>
      <c r="D107" s="231">
        <v>19.2</v>
      </c>
      <c r="E107" s="230">
        <v>17247</v>
      </c>
      <c r="F107" s="273">
        <v>19.2</v>
      </c>
      <c r="G107" s="285">
        <v>1801</v>
      </c>
      <c r="H107" s="231">
        <v>6</v>
      </c>
      <c r="I107" s="230">
        <v>139560</v>
      </c>
      <c r="J107" s="273">
        <v>38.799999999999997</v>
      </c>
      <c r="K107" s="285">
        <v>35604</v>
      </c>
      <c r="L107" s="231">
        <v>14.8</v>
      </c>
      <c r="M107" s="230">
        <v>139560</v>
      </c>
      <c r="N107" s="231">
        <v>38.799999999999997</v>
      </c>
      <c r="O107" s="230">
        <v>183960</v>
      </c>
      <c r="P107" s="231">
        <v>51.1</v>
      </c>
      <c r="Q107" s="230">
        <v>61320</v>
      </c>
      <c r="R107" s="231">
        <v>25.6</v>
      </c>
      <c r="S107" s="230">
        <v>15330</v>
      </c>
      <c r="T107" s="231">
        <v>6.4</v>
      </c>
      <c r="U107" s="230">
        <v>9288</v>
      </c>
      <c r="V107" s="231">
        <v>2.9</v>
      </c>
      <c r="W107" s="230">
        <v>15163</v>
      </c>
      <c r="X107" s="231">
        <v>4.2</v>
      </c>
      <c r="Y107" s="230">
        <v>7830</v>
      </c>
      <c r="Z107" s="273">
        <v>3.3</v>
      </c>
    </row>
    <row r="108" spans="1:26" x14ac:dyDescent="0.2">
      <c r="A108" s="699"/>
      <c r="B108" s="272" t="s">
        <v>380</v>
      </c>
      <c r="C108" s="230">
        <v>0</v>
      </c>
      <c r="D108" s="231">
        <v>0</v>
      </c>
      <c r="E108" s="235">
        <v>0</v>
      </c>
      <c r="F108" s="273">
        <v>0</v>
      </c>
      <c r="G108" s="285">
        <v>0</v>
      </c>
      <c r="H108" s="231">
        <v>0</v>
      </c>
      <c r="I108" s="230">
        <v>0</v>
      </c>
      <c r="J108" s="273">
        <v>0</v>
      </c>
      <c r="K108" s="285">
        <v>0</v>
      </c>
      <c r="L108" s="231">
        <v>0</v>
      </c>
      <c r="M108" s="230">
        <v>0</v>
      </c>
      <c r="N108" s="231">
        <v>0</v>
      </c>
      <c r="O108" s="230">
        <v>0</v>
      </c>
      <c r="P108" s="231">
        <v>0</v>
      </c>
      <c r="Q108" s="230">
        <v>0</v>
      </c>
      <c r="R108" s="231">
        <v>0</v>
      </c>
      <c r="S108" s="230">
        <v>0</v>
      </c>
      <c r="T108" s="231">
        <v>0</v>
      </c>
      <c r="U108" s="230">
        <v>0</v>
      </c>
      <c r="V108" s="231">
        <v>0</v>
      </c>
      <c r="W108" s="230">
        <v>0</v>
      </c>
      <c r="X108" s="231">
        <v>0</v>
      </c>
      <c r="Y108" s="230">
        <v>0</v>
      </c>
      <c r="Z108" s="273">
        <v>0</v>
      </c>
    </row>
    <row r="109" spans="1:26" x14ac:dyDescent="0.2">
      <c r="A109" s="699"/>
      <c r="B109" s="272" t="s">
        <v>381</v>
      </c>
      <c r="C109" s="230">
        <v>0</v>
      </c>
      <c r="D109" s="231">
        <v>0</v>
      </c>
      <c r="E109" s="235">
        <v>0</v>
      </c>
      <c r="F109" s="273">
        <v>0</v>
      </c>
      <c r="G109" s="285">
        <v>0</v>
      </c>
      <c r="H109" s="231">
        <v>0</v>
      </c>
      <c r="I109" s="230">
        <v>73966</v>
      </c>
      <c r="J109" s="273">
        <v>20.5</v>
      </c>
      <c r="K109" s="285">
        <v>0</v>
      </c>
      <c r="L109" s="231">
        <v>0</v>
      </c>
      <c r="M109" s="230">
        <v>94347</v>
      </c>
      <c r="N109" s="231">
        <v>26.2</v>
      </c>
      <c r="O109" s="230">
        <v>188740</v>
      </c>
      <c r="P109" s="231">
        <v>52.4</v>
      </c>
      <c r="Q109" s="230">
        <v>0</v>
      </c>
      <c r="R109" s="231">
        <v>0</v>
      </c>
      <c r="S109" s="230">
        <v>85693</v>
      </c>
      <c r="T109" s="231">
        <v>35.700000000000003</v>
      </c>
      <c r="U109" s="230">
        <v>0</v>
      </c>
      <c r="V109" s="231">
        <v>0</v>
      </c>
      <c r="W109" s="230">
        <v>189046</v>
      </c>
      <c r="X109" s="231">
        <v>52.5</v>
      </c>
      <c r="Y109" s="230">
        <v>61993</v>
      </c>
      <c r="Z109" s="273">
        <v>25.8</v>
      </c>
    </row>
    <row r="110" spans="1:26" s="20" customFormat="1" x14ac:dyDescent="0.2">
      <c r="A110" s="699"/>
      <c r="B110" s="274" t="s">
        <v>382</v>
      </c>
      <c r="C110" s="275">
        <v>31005</v>
      </c>
      <c r="D110" s="276">
        <v>193.8</v>
      </c>
      <c r="E110" s="277">
        <v>171601</v>
      </c>
      <c r="F110" s="287">
        <v>190.7</v>
      </c>
      <c r="G110" s="286">
        <v>69537</v>
      </c>
      <c r="H110" s="276">
        <v>231.8</v>
      </c>
      <c r="I110" s="275">
        <v>800464</v>
      </c>
      <c r="J110" s="279">
        <v>222.4</v>
      </c>
      <c r="K110" s="286">
        <v>497067</v>
      </c>
      <c r="L110" s="276">
        <v>207.1</v>
      </c>
      <c r="M110" s="275">
        <v>919686</v>
      </c>
      <c r="N110" s="276">
        <v>255.5</v>
      </c>
      <c r="O110" s="275">
        <v>1872066</v>
      </c>
      <c r="P110" s="276">
        <v>520</v>
      </c>
      <c r="Q110" s="275">
        <v>888893</v>
      </c>
      <c r="R110" s="276">
        <v>370.4</v>
      </c>
      <c r="S110" s="275">
        <v>888116</v>
      </c>
      <c r="T110" s="276">
        <v>370</v>
      </c>
      <c r="U110" s="275">
        <v>1001774</v>
      </c>
      <c r="V110" s="276">
        <v>313.10000000000002</v>
      </c>
      <c r="W110" s="275">
        <v>1408176</v>
      </c>
      <c r="X110" s="276">
        <v>391.2</v>
      </c>
      <c r="Y110" s="275">
        <v>618611</v>
      </c>
      <c r="Z110" s="279">
        <v>257.8</v>
      </c>
    </row>
    <row r="111" spans="1:26" s="216" customFormat="1" x14ac:dyDescent="0.2">
      <c r="A111" s="699"/>
      <c r="B111" s="283" t="s">
        <v>491</v>
      </c>
      <c r="C111" s="289" t="s">
        <v>372</v>
      </c>
      <c r="D111" s="291" t="s">
        <v>397</v>
      </c>
      <c r="E111" s="289" t="s">
        <v>372</v>
      </c>
      <c r="F111" s="291" t="s">
        <v>397</v>
      </c>
      <c r="G111" s="289" t="s">
        <v>372</v>
      </c>
      <c r="H111" s="291" t="s">
        <v>397</v>
      </c>
      <c r="I111" s="289" t="s">
        <v>372</v>
      </c>
      <c r="J111" s="291" t="s">
        <v>397</v>
      </c>
      <c r="K111" s="289" t="s">
        <v>372</v>
      </c>
      <c r="L111" s="291" t="s">
        <v>397</v>
      </c>
      <c r="M111" s="289" t="s">
        <v>372</v>
      </c>
      <c r="N111" s="291" t="s">
        <v>397</v>
      </c>
      <c r="O111" s="289" t="s">
        <v>372</v>
      </c>
      <c r="P111" s="291" t="s">
        <v>397</v>
      </c>
      <c r="Q111" s="289" t="s">
        <v>372</v>
      </c>
      <c r="R111" s="291" t="s">
        <v>397</v>
      </c>
      <c r="S111" s="289" t="s">
        <v>372</v>
      </c>
      <c r="T111" s="291" t="s">
        <v>397</v>
      </c>
      <c r="U111" s="289" t="s">
        <v>372</v>
      </c>
      <c r="V111" s="291" t="s">
        <v>397</v>
      </c>
      <c r="W111" s="289" t="s">
        <v>372</v>
      </c>
      <c r="X111" s="291" t="s">
        <v>397</v>
      </c>
      <c r="Y111" s="289" t="s">
        <v>372</v>
      </c>
      <c r="Z111" s="291" t="s">
        <v>397</v>
      </c>
    </row>
    <row r="112" spans="1:26" x14ac:dyDescent="0.2">
      <c r="A112" s="699"/>
      <c r="B112" s="272" t="s">
        <v>373</v>
      </c>
      <c r="C112" s="230">
        <f>C$6-C101</f>
        <v>9643</v>
      </c>
      <c r="D112" s="293">
        <f t="shared" ref="D112:Z112" si="31">D$6-D101</f>
        <v>60.300000000000011</v>
      </c>
      <c r="E112" s="230">
        <f t="shared" si="31"/>
        <v>39980</v>
      </c>
      <c r="F112" s="293">
        <f t="shared" si="31"/>
        <v>44.400000000000006</v>
      </c>
      <c r="G112" s="230">
        <f t="shared" si="31"/>
        <v>15641</v>
      </c>
      <c r="H112" s="293">
        <f t="shared" si="31"/>
        <v>52.099999999999994</v>
      </c>
      <c r="I112" s="230">
        <f t="shared" si="31"/>
        <v>182837</v>
      </c>
      <c r="J112" s="293">
        <f t="shared" si="31"/>
        <v>50.8</v>
      </c>
      <c r="K112" s="230">
        <f t="shared" si="31"/>
        <v>130709</v>
      </c>
      <c r="L112" s="293">
        <f t="shared" si="31"/>
        <v>54.5</v>
      </c>
      <c r="M112" s="230">
        <f t="shared" si="31"/>
        <v>185197</v>
      </c>
      <c r="N112" s="293">
        <f t="shared" si="31"/>
        <v>51.500000000000007</v>
      </c>
      <c r="O112" s="230">
        <f t="shared" si="31"/>
        <v>181917</v>
      </c>
      <c r="P112" s="293">
        <f t="shared" si="31"/>
        <v>50.500000000000014</v>
      </c>
      <c r="Q112" s="230">
        <f t="shared" si="31"/>
        <v>129575</v>
      </c>
      <c r="R112" s="293">
        <f t="shared" si="31"/>
        <v>53.9</v>
      </c>
      <c r="S112" s="230">
        <f t="shared" si="31"/>
        <v>127158</v>
      </c>
      <c r="T112" s="293">
        <f t="shared" si="31"/>
        <v>53</v>
      </c>
      <c r="U112" s="230">
        <f t="shared" si="31"/>
        <v>211547</v>
      </c>
      <c r="V112" s="293">
        <f t="shared" si="31"/>
        <v>66.100000000000023</v>
      </c>
      <c r="W112" s="230">
        <f t="shared" si="31"/>
        <v>180604</v>
      </c>
      <c r="X112" s="293">
        <f t="shared" si="31"/>
        <v>50.2</v>
      </c>
      <c r="Y112" s="230">
        <f t="shared" si="31"/>
        <v>124688</v>
      </c>
      <c r="Z112" s="293">
        <f t="shared" si="31"/>
        <v>52.000000000000014</v>
      </c>
    </row>
    <row r="113" spans="1:26" x14ac:dyDescent="0.2">
      <c r="A113" s="699"/>
      <c r="B113" s="272" t="s">
        <v>374</v>
      </c>
      <c r="C113" s="230">
        <f t="shared" ref="C113:Z113" si="32">C$7-C102</f>
        <v>0</v>
      </c>
      <c r="D113" s="293">
        <f t="shared" si="32"/>
        <v>0</v>
      </c>
      <c r="E113" s="230">
        <f t="shared" si="32"/>
        <v>0</v>
      </c>
      <c r="F113" s="293">
        <f t="shared" si="32"/>
        <v>0</v>
      </c>
      <c r="G113" s="230">
        <f t="shared" si="32"/>
        <v>-34</v>
      </c>
      <c r="H113" s="293">
        <f t="shared" si="32"/>
        <v>-9.9999999999997868E-2</v>
      </c>
      <c r="I113" s="230">
        <f t="shared" si="32"/>
        <v>1227</v>
      </c>
      <c r="J113" s="293">
        <f t="shared" si="32"/>
        <v>0.39999999999999858</v>
      </c>
      <c r="K113" s="230">
        <f t="shared" si="32"/>
        <v>304</v>
      </c>
      <c r="L113" s="293">
        <f t="shared" si="32"/>
        <v>0.10000000000000142</v>
      </c>
      <c r="M113" s="230">
        <f t="shared" si="32"/>
        <v>910</v>
      </c>
      <c r="N113" s="293">
        <f t="shared" si="32"/>
        <v>0.20000000000000284</v>
      </c>
      <c r="O113" s="230">
        <f t="shared" si="32"/>
        <v>238</v>
      </c>
      <c r="P113" s="293">
        <f t="shared" si="32"/>
        <v>0.10000000000000853</v>
      </c>
      <c r="Q113" s="230">
        <f t="shared" si="32"/>
        <v>390</v>
      </c>
      <c r="R113" s="293">
        <f t="shared" si="32"/>
        <v>0.20000000000000284</v>
      </c>
      <c r="S113" s="230">
        <f t="shared" si="32"/>
        <v>19</v>
      </c>
      <c r="T113" s="293">
        <f t="shared" si="32"/>
        <v>0</v>
      </c>
      <c r="U113" s="230">
        <f t="shared" si="32"/>
        <v>268</v>
      </c>
      <c r="V113" s="293">
        <f t="shared" si="32"/>
        <v>0.10000000000000142</v>
      </c>
      <c r="W113" s="230">
        <f t="shared" si="32"/>
        <v>300</v>
      </c>
      <c r="X113" s="293">
        <f t="shared" si="32"/>
        <v>9.9999999999994316E-2</v>
      </c>
      <c r="Y113" s="230">
        <f t="shared" si="32"/>
        <v>7</v>
      </c>
      <c r="Z113" s="293">
        <f t="shared" si="32"/>
        <v>0</v>
      </c>
    </row>
    <row r="114" spans="1:26" x14ac:dyDescent="0.2">
      <c r="A114" s="699"/>
      <c r="B114" s="272" t="s">
        <v>375</v>
      </c>
      <c r="C114" s="230">
        <f>C$8-C103</f>
        <v>0</v>
      </c>
      <c r="D114" s="293">
        <f t="shared" ref="D114:Z114" si="33">D$8-D103</f>
        <v>0</v>
      </c>
      <c r="E114" s="230">
        <f t="shared" si="33"/>
        <v>0</v>
      </c>
      <c r="F114" s="293">
        <f t="shared" si="33"/>
        <v>0</v>
      </c>
      <c r="G114" s="230">
        <f t="shared" si="33"/>
        <v>0</v>
      </c>
      <c r="H114" s="293">
        <f t="shared" si="33"/>
        <v>0</v>
      </c>
      <c r="I114" s="230">
        <f t="shared" si="33"/>
        <v>0</v>
      </c>
      <c r="J114" s="293">
        <f t="shared" si="33"/>
        <v>0</v>
      </c>
      <c r="K114" s="230">
        <f t="shared" si="33"/>
        <v>0</v>
      </c>
      <c r="L114" s="293">
        <f t="shared" si="33"/>
        <v>0</v>
      </c>
      <c r="M114" s="230">
        <f t="shared" si="33"/>
        <v>0</v>
      </c>
      <c r="N114" s="293">
        <f t="shared" si="33"/>
        <v>0</v>
      </c>
      <c r="O114" s="230">
        <f t="shared" si="33"/>
        <v>0</v>
      </c>
      <c r="P114" s="293">
        <f t="shared" si="33"/>
        <v>0</v>
      </c>
      <c r="Q114" s="230">
        <f t="shared" si="33"/>
        <v>0</v>
      </c>
      <c r="R114" s="293">
        <f t="shared" si="33"/>
        <v>0</v>
      </c>
      <c r="S114" s="230">
        <f t="shared" si="33"/>
        <v>0</v>
      </c>
      <c r="T114" s="293">
        <f t="shared" si="33"/>
        <v>0</v>
      </c>
      <c r="U114" s="230">
        <f t="shared" si="33"/>
        <v>0</v>
      </c>
      <c r="V114" s="293">
        <f t="shared" si="33"/>
        <v>0</v>
      </c>
      <c r="W114" s="230">
        <f t="shared" si="33"/>
        <v>0</v>
      </c>
      <c r="X114" s="293">
        <f t="shared" si="33"/>
        <v>0</v>
      </c>
      <c r="Y114" s="230">
        <f t="shared" si="33"/>
        <v>0</v>
      </c>
      <c r="Z114" s="293">
        <f t="shared" si="33"/>
        <v>0</v>
      </c>
    </row>
    <row r="115" spans="1:26" x14ac:dyDescent="0.2">
      <c r="A115" s="699"/>
      <c r="B115" s="272" t="s">
        <v>376</v>
      </c>
      <c r="C115" s="230">
        <f t="shared" ref="C115:Z115" si="34">C$9-C104</f>
        <v>0</v>
      </c>
      <c r="D115" s="293">
        <f t="shared" si="34"/>
        <v>0</v>
      </c>
      <c r="E115" s="230">
        <f t="shared" si="34"/>
        <v>0</v>
      </c>
      <c r="F115" s="293">
        <f t="shared" si="34"/>
        <v>0</v>
      </c>
      <c r="G115" s="230">
        <f t="shared" si="34"/>
        <v>0</v>
      </c>
      <c r="H115" s="293">
        <f t="shared" si="34"/>
        <v>0</v>
      </c>
      <c r="I115" s="230">
        <f t="shared" si="34"/>
        <v>0</v>
      </c>
      <c r="J115" s="293">
        <f t="shared" si="34"/>
        <v>0</v>
      </c>
      <c r="K115" s="230">
        <f t="shared" si="34"/>
        <v>0</v>
      </c>
      <c r="L115" s="293">
        <f t="shared" si="34"/>
        <v>0</v>
      </c>
      <c r="M115" s="230">
        <f t="shared" si="34"/>
        <v>0</v>
      </c>
      <c r="N115" s="293">
        <f t="shared" si="34"/>
        <v>0</v>
      </c>
      <c r="O115" s="230">
        <f t="shared" si="34"/>
        <v>0</v>
      </c>
      <c r="P115" s="293">
        <f t="shared" si="34"/>
        <v>0</v>
      </c>
      <c r="Q115" s="230">
        <f t="shared" si="34"/>
        <v>0</v>
      </c>
      <c r="R115" s="293">
        <f t="shared" si="34"/>
        <v>0</v>
      </c>
      <c r="S115" s="230">
        <f t="shared" si="34"/>
        <v>0</v>
      </c>
      <c r="T115" s="293">
        <f t="shared" si="34"/>
        <v>0</v>
      </c>
      <c r="U115" s="230">
        <f t="shared" si="34"/>
        <v>0</v>
      </c>
      <c r="V115" s="293">
        <f t="shared" si="34"/>
        <v>0</v>
      </c>
      <c r="W115" s="230">
        <f t="shared" si="34"/>
        <v>0</v>
      </c>
      <c r="X115" s="293">
        <f t="shared" si="34"/>
        <v>0</v>
      </c>
      <c r="Y115" s="230">
        <f t="shared" si="34"/>
        <v>0</v>
      </c>
      <c r="Z115" s="293">
        <f t="shared" si="34"/>
        <v>0</v>
      </c>
    </row>
    <row r="116" spans="1:26" x14ac:dyDescent="0.2">
      <c r="A116" s="699"/>
      <c r="B116" s="272" t="s">
        <v>377</v>
      </c>
      <c r="C116" s="230">
        <f t="shared" ref="C116:Z116" si="35">C$10-C105</f>
        <v>56</v>
      </c>
      <c r="D116" s="293">
        <f t="shared" si="35"/>
        <v>0.29999999999999993</v>
      </c>
      <c r="E116" s="230">
        <f t="shared" si="35"/>
        <v>256</v>
      </c>
      <c r="F116" s="293">
        <f t="shared" si="35"/>
        <v>0.30000000000000004</v>
      </c>
      <c r="G116" s="230">
        <f t="shared" si="35"/>
        <v>99</v>
      </c>
      <c r="H116" s="293">
        <f t="shared" si="35"/>
        <v>0.40000000000000013</v>
      </c>
      <c r="I116" s="230">
        <f t="shared" si="35"/>
        <v>1029</v>
      </c>
      <c r="J116" s="293">
        <f t="shared" si="35"/>
        <v>0.30000000000000027</v>
      </c>
      <c r="K116" s="230">
        <f t="shared" si="35"/>
        <v>802</v>
      </c>
      <c r="L116" s="293">
        <f t="shared" si="35"/>
        <v>0.30000000000000004</v>
      </c>
      <c r="M116" s="230">
        <f t="shared" si="35"/>
        <v>651</v>
      </c>
      <c r="N116" s="293">
        <f t="shared" si="35"/>
        <v>0.20000000000000018</v>
      </c>
      <c r="O116" s="230">
        <f t="shared" si="35"/>
        <v>470</v>
      </c>
      <c r="P116" s="293">
        <f t="shared" si="35"/>
        <v>9.9999999999999645E-2</v>
      </c>
      <c r="Q116" s="230">
        <f t="shared" si="35"/>
        <v>798</v>
      </c>
      <c r="R116" s="293">
        <f t="shared" si="35"/>
        <v>0.30000000000000004</v>
      </c>
      <c r="S116" s="230">
        <f t="shared" si="35"/>
        <v>802</v>
      </c>
      <c r="T116" s="293">
        <f t="shared" si="35"/>
        <v>0.29999999999999982</v>
      </c>
      <c r="U116" s="230">
        <f t="shared" si="35"/>
        <v>1300</v>
      </c>
      <c r="V116" s="293">
        <f t="shared" si="35"/>
        <v>0.40000000000000013</v>
      </c>
      <c r="W116" s="230">
        <f t="shared" si="35"/>
        <v>776</v>
      </c>
      <c r="X116" s="293">
        <f t="shared" si="35"/>
        <v>0.29999999999999982</v>
      </c>
      <c r="Y116" s="230">
        <f t="shared" si="35"/>
        <v>502</v>
      </c>
      <c r="Z116" s="293">
        <f t="shared" si="35"/>
        <v>0.20000000000000018</v>
      </c>
    </row>
    <row r="117" spans="1:26" x14ac:dyDescent="0.2">
      <c r="A117" s="699"/>
      <c r="B117" s="272" t="s">
        <v>378</v>
      </c>
      <c r="C117" s="230">
        <f t="shared" ref="C117:Z117" si="36">C$11-C106</f>
        <v>0</v>
      </c>
      <c r="D117" s="293">
        <f t="shared" si="36"/>
        <v>0</v>
      </c>
      <c r="E117" s="230">
        <f t="shared" si="36"/>
        <v>0</v>
      </c>
      <c r="F117" s="293">
        <f t="shared" si="36"/>
        <v>0</v>
      </c>
      <c r="G117" s="230">
        <f t="shared" si="36"/>
        <v>0</v>
      </c>
      <c r="H117" s="293">
        <f t="shared" si="36"/>
        <v>0</v>
      </c>
      <c r="I117" s="230">
        <f t="shared" si="36"/>
        <v>0</v>
      </c>
      <c r="J117" s="293">
        <f t="shared" si="36"/>
        <v>0</v>
      </c>
      <c r="K117" s="230">
        <f t="shared" si="36"/>
        <v>0</v>
      </c>
      <c r="L117" s="293">
        <f t="shared" si="36"/>
        <v>0</v>
      </c>
      <c r="M117" s="230">
        <f t="shared" si="36"/>
        <v>0</v>
      </c>
      <c r="N117" s="293">
        <f t="shared" si="36"/>
        <v>0</v>
      </c>
      <c r="O117" s="230">
        <f t="shared" si="36"/>
        <v>0</v>
      </c>
      <c r="P117" s="293">
        <f t="shared" si="36"/>
        <v>0</v>
      </c>
      <c r="Q117" s="230">
        <f t="shared" si="36"/>
        <v>0</v>
      </c>
      <c r="R117" s="293">
        <f t="shared" si="36"/>
        <v>0</v>
      </c>
      <c r="S117" s="230">
        <f t="shared" si="36"/>
        <v>0</v>
      </c>
      <c r="T117" s="293">
        <f t="shared" si="36"/>
        <v>0</v>
      </c>
      <c r="U117" s="230">
        <f t="shared" si="36"/>
        <v>0</v>
      </c>
      <c r="V117" s="293">
        <f t="shared" si="36"/>
        <v>0</v>
      </c>
      <c r="W117" s="230">
        <f t="shared" si="36"/>
        <v>0</v>
      </c>
      <c r="X117" s="293">
        <f t="shared" si="36"/>
        <v>0</v>
      </c>
      <c r="Y117" s="230">
        <f t="shared" si="36"/>
        <v>0</v>
      </c>
      <c r="Z117" s="293">
        <f t="shared" si="36"/>
        <v>0</v>
      </c>
    </row>
    <row r="118" spans="1:26" x14ac:dyDescent="0.2">
      <c r="A118" s="699"/>
      <c r="B118" s="272" t="s">
        <v>379</v>
      </c>
      <c r="C118" s="230">
        <f t="shared" ref="C118:Z118" si="37">C$12-C107</f>
        <v>0</v>
      </c>
      <c r="D118" s="293">
        <f t="shared" si="37"/>
        <v>0</v>
      </c>
      <c r="E118" s="230">
        <f t="shared" si="37"/>
        <v>0</v>
      </c>
      <c r="F118" s="293">
        <f t="shared" si="37"/>
        <v>0</v>
      </c>
      <c r="G118" s="230">
        <f t="shared" si="37"/>
        <v>0</v>
      </c>
      <c r="H118" s="293">
        <f t="shared" si="37"/>
        <v>0</v>
      </c>
      <c r="I118" s="230">
        <f t="shared" si="37"/>
        <v>0</v>
      </c>
      <c r="J118" s="293">
        <f t="shared" si="37"/>
        <v>0</v>
      </c>
      <c r="K118" s="230">
        <f t="shared" si="37"/>
        <v>0</v>
      </c>
      <c r="L118" s="293">
        <f t="shared" si="37"/>
        <v>0</v>
      </c>
      <c r="M118" s="230">
        <f t="shared" si="37"/>
        <v>0</v>
      </c>
      <c r="N118" s="293">
        <f t="shared" si="37"/>
        <v>0</v>
      </c>
      <c r="O118" s="230">
        <f t="shared" si="37"/>
        <v>0</v>
      </c>
      <c r="P118" s="293">
        <f t="shared" si="37"/>
        <v>0</v>
      </c>
      <c r="Q118" s="230">
        <f t="shared" si="37"/>
        <v>0</v>
      </c>
      <c r="R118" s="293">
        <f t="shared" si="37"/>
        <v>0</v>
      </c>
      <c r="S118" s="230">
        <f t="shared" si="37"/>
        <v>0</v>
      </c>
      <c r="T118" s="293">
        <f t="shared" si="37"/>
        <v>0</v>
      </c>
      <c r="U118" s="230">
        <f t="shared" si="37"/>
        <v>0</v>
      </c>
      <c r="V118" s="293">
        <f t="shared" si="37"/>
        <v>0</v>
      </c>
      <c r="W118" s="230">
        <f t="shared" si="37"/>
        <v>0</v>
      </c>
      <c r="X118" s="293">
        <f t="shared" si="37"/>
        <v>0</v>
      </c>
      <c r="Y118" s="230">
        <f t="shared" si="37"/>
        <v>0</v>
      </c>
      <c r="Z118" s="293">
        <f t="shared" si="37"/>
        <v>0</v>
      </c>
    </row>
    <row r="119" spans="1:26" x14ac:dyDescent="0.2">
      <c r="A119" s="699"/>
      <c r="B119" s="272" t="s">
        <v>380</v>
      </c>
      <c r="C119" s="230">
        <f t="shared" ref="C119:Z119" si="38">C$13-C108</f>
        <v>0</v>
      </c>
      <c r="D119" s="293">
        <f t="shared" si="38"/>
        <v>0</v>
      </c>
      <c r="E119" s="230">
        <f t="shared" si="38"/>
        <v>0</v>
      </c>
      <c r="F119" s="293">
        <f t="shared" si="38"/>
        <v>0</v>
      </c>
      <c r="G119" s="230">
        <f t="shared" si="38"/>
        <v>0</v>
      </c>
      <c r="H119" s="293">
        <f t="shared" si="38"/>
        <v>0</v>
      </c>
      <c r="I119" s="230">
        <f t="shared" si="38"/>
        <v>0</v>
      </c>
      <c r="J119" s="293">
        <f t="shared" si="38"/>
        <v>0</v>
      </c>
      <c r="K119" s="230">
        <f t="shared" si="38"/>
        <v>0</v>
      </c>
      <c r="L119" s="293">
        <f t="shared" si="38"/>
        <v>0</v>
      </c>
      <c r="M119" s="230">
        <f t="shared" si="38"/>
        <v>0</v>
      </c>
      <c r="N119" s="293">
        <f t="shared" si="38"/>
        <v>0</v>
      </c>
      <c r="O119" s="230">
        <f t="shared" si="38"/>
        <v>0</v>
      </c>
      <c r="P119" s="293">
        <f t="shared" si="38"/>
        <v>0</v>
      </c>
      <c r="Q119" s="230">
        <f t="shared" si="38"/>
        <v>0</v>
      </c>
      <c r="R119" s="293">
        <f t="shared" si="38"/>
        <v>0</v>
      </c>
      <c r="S119" s="230">
        <f t="shared" si="38"/>
        <v>0</v>
      </c>
      <c r="T119" s="293">
        <f t="shared" si="38"/>
        <v>0</v>
      </c>
      <c r="U119" s="230">
        <f t="shared" si="38"/>
        <v>0</v>
      </c>
      <c r="V119" s="293">
        <f t="shared" si="38"/>
        <v>0</v>
      </c>
      <c r="W119" s="230">
        <f t="shared" si="38"/>
        <v>0</v>
      </c>
      <c r="X119" s="293">
        <f t="shared" si="38"/>
        <v>0</v>
      </c>
      <c r="Y119" s="230">
        <f t="shared" si="38"/>
        <v>0</v>
      </c>
      <c r="Z119" s="293">
        <f t="shared" si="38"/>
        <v>0</v>
      </c>
    </row>
    <row r="120" spans="1:26" x14ac:dyDescent="0.2">
      <c r="A120" s="699"/>
      <c r="B120" s="272" t="s">
        <v>381</v>
      </c>
      <c r="C120" s="230">
        <f t="shared" ref="C120:Z120" si="39">C$14-C109</f>
        <v>0</v>
      </c>
      <c r="D120" s="293">
        <f t="shared" si="39"/>
        <v>0</v>
      </c>
      <c r="E120" s="230">
        <f t="shared" si="39"/>
        <v>0</v>
      </c>
      <c r="F120" s="293">
        <f t="shared" si="39"/>
        <v>0</v>
      </c>
      <c r="G120" s="230">
        <f t="shared" si="39"/>
        <v>0</v>
      </c>
      <c r="H120" s="293">
        <f t="shared" si="39"/>
        <v>0</v>
      </c>
      <c r="I120" s="230">
        <f t="shared" si="39"/>
        <v>0</v>
      </c>
      <c r="J120" s="293">
        <f t="shared" si="39"/>
        <v>0</v>
      </c>
      <c r="K120" s="230">
        <f t="shared" si="39"/>
        <v>0</v>
      </c>
      <c r="L120" s="293">
        <f t="shared" si="39"/>
        <v>0</v>
      </c>
      <c r="M120" s="230">
        <f t="shared" si="39"/>
        <v>0</v>
      </c>
      <c r="N120" s="293">
        <f t="shared" si="39"/>
        <v>0</v>
      </c>
      <c r="O120" s="230">
        <f t="shared" si="39"/>
        <v>0</v>
      </c>
      <c r="P120" s="293">
        <f t="shared" si="39"/>
        <v>0</v>
      </c>
      <c r="Q120" s="230">
        <f t="shared" si="39"/>
        <v>0</v>
      </c>
      <c r="R120" s="293">
        <f t="shared" si="39"/>
        <v>0</v>
      </c>
      <c r="S120" s="230">
        <f t="shared" si="39"/>
        <v>0</v>
      </c>
      <c r="T120" s="293">
        <f t="shared" si="39"/>
        <v>0</v>
      </c>
      <c r="U120" s="230">
        <f t="shared" si="39"/>
        <v>0</v>
      </c>
      <c r="V120" s="293">
        <f t="shared" si="39"/>
        <v>0</v>
      </c>
      <c r="W120" s="230">
        <f t="shared" si="39"/>
        <v>0</v>
      </c>
      <c r="X120" s="293">
        <f t="shared" si="39"/>
        <v>0</v>
      </c>
      <c r="Y120" s="230">
        <f t="shared" si="39"/>
        <v>0</v>
      </c>
      <c r="Z120" s="293">
        <f t="shared" si="39"/>
        <v>0</v>
      </c>
    </row>
    <row r="121" spans="1:26" s="20" customFormat="1" x14ac:dyDescent="0.2">
      <c r="A121" s="700"/>
      <c r="B121" s="274" t="s">
        <v>382</v>
      </c>
      <c r="C121" s="275">
        <f t="shared" ref="C121:Z121" si="40">C$15-C110</f>
        <v>9698</v>
      </c>
      <c r="D121" s="294">
        <f t="shared" si="40"/>
        <v>60.599999999999994</v>
      </c>
      <c r="E121" s="275">
        <f t="shared" si="40"/>
        <v>40236</v>
      </c>
      <c r="F121" s="294">
        <f t="shared" si="40"/>
        <v>44.700000000000017</v>
      </c>
      <c r="G121" s="275">
        <f t="shared" si="40"/>
        <v>15706</v>
      </c>
      <c r="H121" s="294">
        <f t="shared" si="40"/>
        <v>52.300000000000011</v>
      </c>
      <c r="I121" s="275">
        <f t="shared" si="40"/>
        <v>185092</v>
      </c>
      <c r="J121" s="294">
        <f t="shared" si="40"/>
        <v>51.400000000000006</v>
      </c>
      <c r="K121" s="275">
        <f t="shared" si="40"/>
        <v>131816</v>
      </c>
      <c r="L121" s="294">
        <f t="shared" si="40"/>
        <v>54.900000000000006</v>
      </c>
      <c r="M121" s="275">
        <f t="shared" si="40"/>
        <v>186757</v>
      </c>
      <c r="N121" s="294">
        <f t="shared" si="40"/>
        <v>51.800000000000011</v>
      </c>
      <c r="O121" s="275">
        <f t="shared" si="40"/>
        <v>182625</v>
      </c>
      <c r="P121" s="294">
        <f t="shared" si="40"/>
        <v>50.700000000000045</v>
      </c>
      <c r="Q121" s="275">
        <f t="shared" si="40"/>
        <v>130763</v>
      </c>
      <c r="R121" s="294">
        <f t="shared" si="40"/>
        <v>54.5</v>
      </c>
      <c r="S121" s="275">
        <f t="shared" si="40"/>
        <v>127979</v>
      </c>
      <c r="T121" s="294">
        <f t="shared" si="40"/>
        <v>53.399999999999977</v>
      </c>
      <c r="U121" s="275">
        <f t="shared" si="40"/>
        <v>213117</v>
      </c>
      <c r="V121" s="294">
        <f t="shared" si="40"/>
        <v>66.599999999999966</v>
      </c>
      <c r="W121" s="275">
        <f t="shared" si="40"/>
        <v>181679</v>
      </c>
      <c r="X121" s="294">
        <f t="shared" si="40"/>
        <v>50.400000000000034</v>
      </c>
      <c r="Y121" s="275">
        <f t="shared" si="40"/>
        <v>125197</v>
      </c>
      <c r="Z121" s="294">
        <f t="shared" si="40"/>
        <v>52.099999999999966</v>
      </c>
    </row>
    <row r="122" spans="1:26" s="20" customFormat="1" x14ac:dyDescent="0.2">
      <c r="A122" s="266"/>
      <c r="B122" s="227"/>
      <c r="C122" s="267"/>
      <c r="D122" s="232"/>
      <c r="E122" s="268"/>
      <c r="F122" s="237"/>
      <c r="G122" s="267"/>
      <c r="H122" s="232"/>
      <c r="I122" s="267"/>
      <c r="J122" s="232"/>
      <c r="K122" s="267"/>
      <c r="L122" s="232"/>
      <c r="M122" s="267"/>
      <c r="N122" s="232"/>
      <c r="O122" s="267"/>
      <c r="P122" s="232"/>
      <c r="Q122" s="267"/>
      <c r="R122" s="232"/>
      <c r="S122" s="267"/>
      <c r="T122" s="232"/>
      <c r="U122" s="267"/>
      <c r="V122" s="232"/>
      <c r="W122" s="267"/>
      <c r="X122" s="232"/>
      <c r="Y122" s="267"/>
      <c r="Z122" s="232"/>
    </row>
    <row r="123" spans="1:26" s="202" customFormat="1" ht="13.15" customHeight="1" x14ac:dyDescent="0.2">
      <c r="A123" s="698" t="s">
        <v>514</v>
      </c>
      <c r="B123" s="269" t="s">
        <v>488</v>
      </c>
      <c r="C123" s="304" t="s">
        <v>486</v>
      </c>
      <c r="D123" s="280" t="s">
        <v>487</v>
      </c>
      <c r="E123" s="304" t="s">
        <v>486</v>
      </c>
      <c r="F123" s="280" t="s">
        <v>487</v>
      </c>
      <c r="G123" s="304" t="s">
        <v>486</v>
      </c>
      <c r="H123" s="280" t="s">
        <v>487</v>
      </c>
      <c r="I123" s="304" t="s">
        <v>486</v>
      </c>
      <c r="J123" s="280" t="s">
        <v>487</v>
      </c>
      <c r="K123" s="304" t="s">
        <v>486</v>
      </c>
      <c r="L123" s="280" t="s">
        <v>487</v>
      </c>
      <c r="M123" s="304" t="s">
        <v>486</v>
      </c>
      <c r="N123" s="280" t="s">
        <v>487</v>
      </c>
      <c r="O123" s="304" t="s">
        <v>486</v>
      </c>
      <c r="P123" s="280" t="s">
        <v>487</v>
      </c>
      <c r="Q123" s="304" t="s">
        <v>486</v>
      </c>
      <c r="R123" s="280" t="s">
        <v>487</v>
      </c>
      <c r="S123" s="304" t="s">
        <v>486</v>
      </c>
      <c r="T123" s="280" t="s">
        <v>487</v>
      </c>
      <c r="U123" s="304" t="s">
        <v>486</v>
      </c>
      <c r="V123" s="280" t="s">
        <v>487</v>
      </c>
      <c r="W123" s="304" t="s">
        <v>486</v>
      </c>
      <c r="X123" s="280" t="s">
        <v>487</v>
      </c>
      <c r="Y123" s="304" t="s">
        <v>486</v>
      </c>
      <c r="Z123" s="314" t="s">
        <v>487</v>
      </c>
    </row>
    <row r="124" spans="1:26" x14ac:dyDescent="0.2">
      <c r="A124" s="699"/>
      <c r="B124" s="316" t="s">
        <v>14</v>
      </c>
      <c r="C124" s="305">
        <f>'6 Oversikt startpunkt'!B50</f>
        <v>0</v>
      </c>
      <c r="D124" s="270">
        <f>'7 Passivhusnivå'!C34</f>
        <v>0.85</v>
      </c>
      <c r="E124" s="305">
        <f>'6 Oversikt startpunkt'!C50</f>
        <v>0</v>
      </c>
      <c r="F124" s="270">
        <f>'7 Passivhusnivå'!D34</f>
        <v>0.85</v>
      </c>
      <c r="G124" s="305">
        <f>'6 Oversikt startpunkt'!D50</f>
        <v>0.6</v>
      </c>
      <c r="H124" s="270">
        <v>0.8</v>
      </c>
      <c r="I124" s="305">
        <f>'6 Oversikt startpunkt'!E50</f>
        <v>0.6</v>
      </c>
      <c r="J124" s="270">
        <v>0.8</v>
      </c>
      <c r="K124" s="243">
        <f>'6 Oversikt startpunkt'!F50</f>
        <v>0.6</v>
      </c>
      <c r="L124" s="312">
        <v>0.8</v>
      </c>
      <c r="M124" s="271">
        <f>'6 Oversikt startpunkt'!G50</f>
        <v>0.6</v>
      </c>
      <c r="N124" s="270">
        <v>0.8</v>
      </c>
      <c r="O124" s="243">
        <f>'6 Oversikt startpunkt'!H50</f>
        <v>0.6</v>
      </c>
      <c r="P124" s="312">
        <v>0.8</v>
      </c>
      <c r="Q124" s="271">
        <f>'6 Oversikt startpunkt'!I50</f>
        <v>0.6</v>
      </c>
      <c r="R124" s="270">
        <v>0.8</v>
      </c>
      <c r="S124" s="243">
        <f>'6 Oversikt startpunkt'!J50</f>
        <v>0.6</v>
      </c>
      <c r="T124" s="312">
        <v>0.8</v>
      </c>
      <c r="U124" s="271">
        <f>'6 Oversikt startpunkt'!K50</f>
        <v>0.6</v>
      </c>
      <c r="V124" s="270">
        <v>0.8</v>
      </c>
      <c r="W124" s="243">
        <f>'6 Oversikt startpunkt'!L50</f>
        <v>0.6</v>
      </c>
      <c r="X124" s="312">
        <v>0.8</v>
      </c>
      <c r="Y124" s="243">
        <f>'6 Oversikt startpunkt'!M50</f>
        <v>0.6</v>
      </c>
      <c r="Z124" s="312">
        <v>0.8</v>
      </c>
    </row>
    <row r="125" spans="1:26" x14ac:dyDescent="0.2">
      <c r="A125" s="699"/>
      <c r="B125" s="243" t="s">
        <v>510</v>
      </c>
      <c r="C125" s="305" t="str">
        <f>'6 Oversikt startpunkt'!B51</f>
        <v>Naturlig vent</v>
      </c>
      <c r="D125" s="270" t="str">
        <f>'7 Passivhusnivå'!C35</f>
        <v>Ingen</v>
      </c>
      <c r="E125" s="305" t="str">
        <f>'6 Oversikt startpunkt'!C51</f>
        <v>Naturlig vent</v>
      </c>
      <c r="F125" s="270" t="str">
        <f>'7 Passivhusnivå'!D35</f>
        <v>Ingen</v>
      </c>
      <c r="G125" s="305">
        <f>'6 Oversikt startpunkt'!D51</f>
        <v>-2</v>
      </c>
      <c r="H125" s="270" t="str">
        <f>'7 Passivhusnivå'!F35</f>
        <v>Ingen</v>
      </c>
      <c r="I125" s="305">
        <f>'6 Oversikt startpunkt'!E51</f>
        <v>-2</v>
      </c>
      <c r="J125" s="270" t="str">
        <f>'7 Passivhusnivå'!G35</f>
        <v>Ingen</v>
      </c>
      <c r="K125" s="243">
        <f>'6 Oversikt startpunkt'!F51</f>
        <v>-2</v>
      </c>
      <c r="L125" s="312" t="str">
        <f>'7 Passivhusnivå'!H35</f>
        <v>Ingen</v>
      </c>
      <c r="M125" s="271">
        <f>'6 Oversikt startpunkt'!G51</f>
        <v>-2</v>
      </c>
      <c r="N125" s="270" t="str">
        <f>'7 Passivhusnivå'!I35</f>
        <v>Ingen</v>
      </c>
      <c r="O125" s="243">
        <f>'6 Oversikt startpunkt'!H51</f>
        <v>-2</v>
      </c>
      <c r="P125" s="312" t="str">
        <f>'7 Passivhusnivå'!J35</f>
        <v>Ingen</v>
      </c>
      <c r="Q125" s="271">
        <f>'6 Oversikt startpunkt'!I51</f>
        <v>-2</v>
      </c>
      <c r="R125" s="270" t="str">
        <f>'7 Passivhusnivå'!K35</f>
        <v>Ingen</v>
      </c>
      <c r="S125" s="243">
        <f>'6 Oversikt startpunkt'!J51</f>
        <v>-2</v>
      </c>
      <c r="T125" s="312" t="str">
        <f>'7 Passivhusnivå'!L35</f>
        <v>Ingen</v>
      </c>
      <c r="U125" s="271">
        <f>'6 Oversikt startpunkt'!K51</f>
        <v>-2</v>
      </c>
      <c r="V125" s="270" t="str">
        <f>'7 Passivhusnivå'!M35</f>
        <v>Ingen</v>
      </c>
      <c r="W125" s="243">
        <f>'6 Oversikt startpunkt'!L51</f>
        <v>-2</v>
      </c>
      <c r="X125" s="312" t="str">
        <f>'7 Passivhusnivå'!N35</f>
        <v>Ingen</v>
      </c>
      <c r="Y125" s="243">
        <f>'6 Oversikt startpunkt'!M51</f>
        <v>-2</v>
      </c>
      <c r="Z125" s="312" t="str">
        <f>'7 Passivhusnivå'!O35</f>
        <v>Ingen</v>
      </c>
    </row>
    <row r="126" spans="1:26" x14ac:dyDescent="0.2">
      <c r="A126" s="699"/>
      <c r="B126" s="243" t="s">
        <v>283</v>
      </c>
      <c r="C126" s="305" t="str">
        <f>'6 Oversikt startpunkt'!B52</f>
        <v>Naturlig vent</v>
      </c>
      <c r="D126" s="270">
        <f>'7 Passivhusnivå'!C36</f>
        <v>1.5</v>
      </c>
      <c r="E126" s="305" t="str">
        <f>'6 Oversikt startpunkt'!C52</f>
        <v>Naturlig vent</v>
      </c>
      <c r="F126" s="270">
        <f>'7 Passivhusnivå'!D36</f>
        <v>1.5</v>
      </c>
      <c r="G126" s="311"/>
      <c r="H126" s="270"/>
      <c r="I126" s="305"/>
      <c r="J126" s="270"/>
      <c r="K126" s="315"/>
      <c r="L126" s="270"/>
      <c r="M126" s="315"/>
      <c r="N126" s="270"/>
      <c r="O126" s="243"/>
      <c r="P126" s="270"/>
      <c r="Q126" s="271"/>
      <c r="R126" s="270"/>
      <c r="S126" s="243"/>
      <c r="T126" s="270"/>
      <c r="U126" s="271"/>
      <c r="V126" s="270"/>
      <c r="W126" s="243"/>
      <c r="X126" s="270"/>
      <c r="Y126" s="243"/>
      <c r="Z126" s="312"/>
    </row>
    <row r="127" spans="1:26" s="216" customFormat="1" x14ac:dyDescent="0.2">
      <c r="A127" s="699"/>
      <c r="B127" s="288" t="s">
        <v>490</v>
      </c>
      <c r="C127" s="289" t="s">
        <v>372</v>
      </c>
      <c r="D127" s="290" t="s">
        <v>397</v>
      </c>
      <c r="E127" s="289" t="s">
        <v>372</v>
      </c>
      <c r="F127" s="291" t="s">
        <v>397</v>
      </c>
      <c r="G127" s="292" t="s">
        <v>372</v>
      </c>
      <c r="H127" s="290" t="s">
        <v>397</v>
      </c>
      <c r="I127" s="289" t="s">
        <v>372</v>
      </c>
      <c r="J127" s="291" t="s">
        <v>397</v>
      </c>
      <c r="K127" s="292" t="s">
        <v>372</v>
      </c>
      <c r="L127" s="290" t="s">
        <v>397</v>
      </c>
      <c r="M127" s="289" t="s">
        <v>372</v>
      </c>
      <c r="N127" s="290" t="s">
        <v>397</v>
      </c>
      <c r="O127" s="289" t="s">
        <v>372</v>
      </c>
      <c r="P127" s="290" t="s">
        <v>397</v>
      </c>
      <c r="Q127" s="289" t="s">
        <v>372</v>
      </c>
      <c r="R127" s="290" t="s">
        <v>397</v>
      </c>
      <c r="S127" s="289" t="s">
        <v>372</v>
      </c>
      <c r="T127" s="290" t="s">
        <v>397</v>
      </c>
      <c r="U127" s="289" t="s">
        <v>372</v>
      </c>
      <c r="V127" s="290" t="s">
        <v>397</v>
      </c>
      <c r="W127" s="289" t="s">
        <v>372</v>
      </c>
      <c r="X127" s="290" t="s">
        <v>397</v>
      </c>
      <c r="Y127" s="289" t="s">
        <v>372</v>
      </c>
      <c r="Z127" s="291" t="s">
        <v>397</v>
      </c>
    </row>
    <row r="128" spans="1:26" x14ac:dyDescent="0.2">
      <c r="A128" s="699"/>
      <c r="B128" s="272" t="s">
        <v>373</v>
      </c>
      <c r="C128" s="230">
        <v>28036</v>
      </c>
      <c r="D128" s="231">
        <v>175.2</v>
      </c>
      <c r="E128" s="230">
        <v>122139</v>
      </c>
      <c r="F128" s="273">
        <v>135.69999999999999</v>
      </c>
      <c r="G128" s="285">
        <v>49813</v>
      </c>
      <c r="H128" s="231">
        <v>166</v>
      </c>
      <c r="I128" s="230">
        <v>362012</v>
      </c>
      <c r="J128" s="273">
        <v>100.6</v>
      </c>
      <c r="K128" s="285">
        <v>295316</v>
      </c>
      <c r="L128" s="231">
        <v>123</v>
      </c>
      <c r="M128" s="230">
        <v>391948</v>
      </c>
      <c r="N128" s="231">
        <v>108.9</v>
      </c>
      <c r="O128" s="230">
        <v>569852</v>
      </c>
      <c r="P128" s="231">
        <v>158.30000000000001</v>
      </c>
      <c r="Q128" s="230">
        <v>276116</v>
      </c>
      <c r="R128" s="231">
        <v>115</v>
      </c>
      <c r="S128" s="230">
        <v>367279</v>
      </c>
      <c r="T128" s="231">
        <v>153</v>
      </c>
      <c r="U128" s="230">
        <v>684248</v>
      </c>
      <c r="V128" s="231">
        <v>213.8</v>
      </c>
      <c r="W128" s="230">
        <v>455103</v>
      </c>
      <c r="X128" s="231">
        <v>126.4</v>
      </c>
      <c r="Y128" s="230">
        <v>382328</v>
      </c>
      <c r="Z128" s="273">
        <v>159.30000000000001</v>
      </c>
    </row>
    <row r="129" spans="1:26" x14ac:dyDescent="0.2">
      <c r="A129" s="699"/>
      <c r="B129" s="272" t="s">
        <v>374</v>
      </c>
      <c r="C129" s="230">
        <v>17</v>
      </c>
      <c r="D129" s="231">
        <v>0.1</v>
      </c>
      <c r="E129" s="230">
        <v>118</v>
      </c>
      <c r="F129" s="273">
        <v>0.1</v>
      </c>
      <c r="G129" s="285">
        <v>895</v>
      </c>
      <c r="H129" s="231">
        <v>3</v>
      </c>
      <c r="I129" s="230">
        <v>11099</v>
      </c>
      <c r="J129" s="273">
        <v>3.1</v>
      </c>
      <c r="K129" s="285">
        <v>8648</v>
      </c>
      <c r="L129" s="231">
        <v>3.6</v>
      </c>
      <c r="M129" s="230">
        <v>14428</v>
      </c>
      <c r="N129" s="231">
        <v>4</v>
      </c>
      <c r="O129" s="230">
        <v>39916</v>
      </c>
      <c r="P129" s="231">
        <v>11.1</v>
      </c>
      <c r="Q129" s="230">
        <v>23850</v>
      </c>
      <c r="R129" s="231">
        <v>9.9</v>
      </c>
      <c r="S129" s="230">
        <v>14072</v>
      </c>
      <c r="T129" s="231">
        <v>5.9</v>
      </c>
      <c r="U129" s="230">
        <v>38525</v>
      </c>
      <c r="V129" s="231">
        <v>12</v>
      </c>
      <c r="W129" s="230">
        <v>24538</v>
      </c>
      <c r="X129" s="231">
        <v>6.8</v>
      </c>
      <c r="Y129" s="230">
        <v>7129</v>
      </c>
      <c r="Z129" s="273">
        <v>3</v>
      </c>
    </row>
    <row r="130" spans="1:26" x14ac:dyDescent="0.2">
      <c r="A130" s="699"/>
      <c r="B130" s="272" t="s">
        <v>375</v>
      </c>
      <c r="C130" s="230">
        <v>4765</v>
      </c>
      <c r="D130" s="231">
        <v>29.8</v>
      </c>
      <c r="E130" s="230">
        <v>26792</v>
      </c>
      <c r="F130" s="273">
        <v>29.8</v>
      </c>
      <c r="G130" s="285">
        <v>3007</v>
      </c>
      <c r="H130" s="231">
        <v>10</v>
      </c>
      <c r="I130" s="230">
        <v>18040</v>
      </c>
      <c r="J130" s="273">
        <v>5</v>
      </c>
      <c r="K130" s="285">
        <v>23530</v>
      </c>
      <c r="L130" s="231">
        <v>9.8000000000000007</v>
      </c>
      <c r="M130" s="230">
        <v>18040</v>
      </c>
      <c r="N130" s="231">
        <v>5</v>
      </c>
      <c r="O130" s="230">
        <v>107170</v>
      </c>
      <c r="P130" s="231">
        <v>29.8</v>
      </c>
      <c r="Q130" s="230">
        <v>71482</v>
      </c>
      <c r="R130" s="231">
        <v>29.8</v>
      </c>
      <c r="S130" s="230">
        <v>71482</v>
      </c>
      <c r="T130" s="231">
        <v>29.8</v>
      </c>
      <c r="U130" s="230">
        <v>156864</v>
      </c>
      <c r="V130" s="231">
        <v>49</v>
      </c>
      <c r="W130" s="230">
        <v>36408</v>
      </c>
      <c r="X130" s="231">
        <v>10.1</v>
      </c>
      <c r="Y130" s="230">
        <v>24054</v>
      </c>
      <c r="Z130" s="273">
        <v>10</v>
      </c>
    </row>
    <row r="131" spans="1:26" x14ac:dyDescent="0.2">
      <c r="A131" s="699"/>
      <c r="B131" s="272" t="s">
        <v>376</v>
      </c>
      <c r="C131" s="230">
        <v>701</v>
      </c>
      <c r="D131" s="231">
        <v>4.4000000000000004</v>
      </c>
      <c r="E131" s="230">
        <v>4925</v>
      </c>
      <c r="F131" s="273">
        <v>5.5</v>
      </c>
      <c r="G131" s="285">
        <v>10505</v>
      </c>
      <c r="H131" s="231">
        <v>35</v>
      </c>
      <c r="I131" s="230">
        <v>123343</v>
      </c>
      <c r="J131" s="273">
        <v>34.299999999999997</v>
      </c>
      <c r="K131" s="285">
        <v>92310</v>
      </c>
      <c r="L131" s="231">
        <v>38.5</v>
      </c>
      <c r="M131" s="230">
        <v>160332</v>
      </c>
      <c r="N131" s="231">
        <v>44.5</v>
      </c>
      <c r="O131" s="230">
        <v>369461</v>
      </c>
      <c r="P131" s="231">
        <v>102.6</v>
      </c>
      <c r="Q131" s="230">
        <v>216212</v>
      </c>
      <c r="R131" s="231">
        <v>90.1</v>
      </c>
      <c r="S131" s="230">
        <v>149037</v>
      </c>
      <c r="T131" s="231">
        <v>62.1</v>
      </c>
      <c r="U131" s="230">
        <v>108368</v>
      </c>
      <c r="V131" s="231">
        <v>33.9</v>
      </c>
      <c r="W131" s="230">
        <v>294892</v>
      </c>
      <c r="X131" s="231">
        <v>81.900000000000006</v>
      </c>
      <c r="Y131" s="230">
        <v>91350</v>
      </c>
      <c r="Z131" s="273">
        <v>38.1</v>
      </c>
    </row>
    <row r="132" spans="1:26" x14ac:dyDescent="0.2">
      <c r="A132" s="699"/>
      <c r="B132" s="272" t="s">
        <v>377</v>
      </c>
      <c r="C132" s="230">
        <v>175</v>
      </c>
      <c r="D132" s="231">
        <v>1.1000000000000001</v>
      </c>
      <c r="E132" s="230">
        <v>755</v>
      </c>
      <c r="F132" s="273">
        <v>0.8</v>
      </c>
      <c r="G132" s="285">
        <v>373</v>
      </c>
      <c r="H132" s="231">
        <v>1.2</v>
      </c>
      <c r="I132" s="230">
        <v>10254</v>
      </c>
      <c r="J132" s="273">
        <v>2.8</v>
      </c>
      <c r="K132" s="285">
        <v>2326</v>
      </c>
      <c r="L132" s="231">
        <v>1</v>
      </c>
      <c r="M132" s="230">
        <v>11594</v>
      </c>
      <c r="N132" s="231">
        <v>3.2</v>
      </c>
      <c r="O132" s="230">
        <v>14366</v>
      </c>
      <c r="P132" s="231">
        <v>4</v>
      </c>
      <c r="Q132" s="230">
        <v>2250</v>
      </c>
      <c r="R132" s="231">
        <v>0.9</v>
      </c>
      <c r="S132" s="230">
        <v>12352</v>
      </c>
      <c r="T132" s="231">
        <v>5.0999999999999996</v>
      </c>
      <c r="U132" s="230">
        <v>5119</v>
      </c>
      <c r="V132" s="231">
        <v>1.6</v>
      </c>
      <c r="W132" s="230">
        <v>16040</v>
      </c>
      <c r="X132" s="231">
        <v>4.5</v>
      </c>
      <c r="Y132" s="230">
        <v>7818</v>
      </c>
      <c r="Z132" s="273">
        <v>3.3</v>
      </c>
    </row>
    <row r="133" spans="1:26" x14ac:dyDescent="0.2">
      <c r="A133" s="699"/>
      <c r="B133" s="272" t="s">
        <v>378</v>
      </c>
      <c r="C133" s="230">
        <v>1993</v>
      </c>
      <c r="D133" s="231">
        <v>12.5</v>
      </c>
      <c r="E133" s="230">
        <v>11214</v>
      </c>
      <c r="F133" s="273">
        <v>12.5</v>
      </c>
      <c r="G133" s="285">
        <v>10805</v>
      </c>
      <c r="H133" s="231">
        <v>36</v>
      </c>
      <c r="I133" s="230">
        <v>152215</v>
      </c>
      <c r="J133" s="273">
        <v>42.3</v>
      </c>
      <c r="K133" s="285">
        <v>89010</v>
      </c>
      <c r="L133" s="231">
        <v>37.1</v>
      </c>
      <c r="M133" s="230">
        <v>152215</v>
      </c>
      <c r="N133" s="231">
        <v>42.3</v>
      </c>
      <c r="O133" s="230">
        <v>275951</v>
      </c>
      <c r="P133" s="231">
        <v>76.7</v>
      </c>
      <c r="Q133" s="230">
        <v>183960</v>
      </c>
      <c r="R133" s="231">
        <v>76.7</v>
      </c>
      <c r="S133" s="230">
        <v>183960</v>
      </c>
      <c r="T133" s="231">
        <v>76.7</v>
      </c>
      <c r="U133" s="230">
        <v>111456</v>
      </c>
      <c r="V133" s="231">
        <v>34.799999999999997</v>
      </c>
      <c r="W133" s="230">
        <v>341223</v>
      </c>
      <c r="X133" s="231">
        <v>94.8</v>
      </c>
      <c r="Y133" s="230">
        <v>93960</v>
      </c>
      <c r="Z133" s="273">
        <v>39.1</v>
      </c>
    </row>
    <row r="134" spans="1:26" x14ac:dyDescent="0.2">
      <c r="A134" s="699"/>
      <c r="B134" s="272" t="s">
        <v>379</v>
      </c>
      <c r="C134" s="230">
        <v>3066</v>
      </c>
      <c r="D134" s="231">
        <v>19.2</v>
      </c>
      <c r="E134" s="230">
        <v>17247</v>
      </c>
      <c r="F134" s="273">
        <v>19.2</v>
      </c>
      <c r="G134" s="285">
        <v>1801</v>
      </c>
      <c r="H134" s="231">
        <v>6</v>
      </c>
      <c r="I134" s="230">
        <v>139560</v>
      </c>
      <c r="J134" s="273">
        <v>38.799999999999997</v>
      </c>
      <c r="K134" s="285">
        <v>35604</v>
      </c>
      <c r="L134" s="231">
        <v>14.8</v>
      </c>
      <c r="M134" s="230">
        <v>139560</v>
      </c>
      <c r="N134" s="231">
        <v>38.799999999999997</v>
      </c>
      <c r="O134" s="230">
        <v>183960</v>
      </c>
      <c r="P134" s="231">
        <v>51.1</v>
      </c>
      <c r="Q134" s="230">
        <v>61320</v>
      </c>
      <c r="R134" s="231">
        <v>25.6</v>
      </c>
      <c r="S134" s="230">
        <v>15330</v>
      </c>
      <c r="T134" s="231">
        <v>6.4</v>
      </c>
      <c r="U134" s="230">
        <v>9288</v>
      </c>
      <c r="V134" s="231">
        <v>2.9</v>
      </c>
      <c r="W134" s="230">
        <v>15163</v>
      </c>
      <c r="X134" s="231">
        <v>4.2</v>
      </c>
      <c r="Y134" s="230">
        <v>7830</v>
      </c>
      <c r="Z134" s="273">
        <v>3.3</v>
      </c>
    </row>
    <row r="135" spans="1:26" x14ac:dyDescent="0.2">
      <c r="A135" s="699"/>
      <c r="B135" s="272" t="s">
        <v>380</v>
      </c>
      <c r="C135" s="230">
        <v>0</v>
      </c>
      <c r="D135" s="231">
        <v>0</v>
      </c>
      <c r="E135" s="235">
        <v>0</v>
      </c>
      <c r="F135" s="273">
        <v>0</v>
      </c>
      <c r="G135" s="285">
        <v>0</v>
      </c>
      <c r="H135" s="231">
        <v>0</v>
      </c>
      <c r="I135" s="230">
        <v>0</v>
      </c>
      <c r="J135" s="273">
        <v>0</v>
      </c>
      <c r="K135" s="285">
        <v>0</v>
      </c>
      <c r="L135" s="231">
        <v>0</v>
      </c>
      <c r="M135" s="230">
        <v>0</v>
      </c>
      <c r="N135" s="231">
        <v>0</v>
      </c>
      <c r="O135" s="230">
        <v>0</v>
      </c>
      <c r="P135" s="231">
        <v>0</v>
      </c>
      <c r="Q135" s="230">
        <v>0</v>
      </c>
      <c r="R135" s="231">
        <v>0</v>
      </c>
      <c r="S135" s="230">
        <v>0</v>
      </c>
      <c r="T135" s="231">
        <v>0</v>
      </c>
      <c r="U135" s="230">
        <v>0</v>
      </c>
      <c r="V135" s="231">
        <v>0</v>
      </c>
      <c r="W135" s="230">
        <v>0</v>
      </c>
      <c r="X135" s="231">
        <v>0</v>
      </c>
      <c r="Y135" s="230">
        <v>0</v>
      </c>
      <c r="Z135" s="273">
        <v>0</v>
      </c>
    </row>
    <row r="136" spans="1:26" x14ac:dyDescent="0.2">
      <c r="A136" s="699"/>
      <c r="B136" s="272" t="s">
        <v>381</v>
      </c>
      <c r="C136" s="230">
        <v>0</v>
      </c>
      <c r="D136" s="231">
        <v>0</v>
      </c>
      <c r="E136" s="235">
        <v>0</v>
      </c>
      <c r="F136" s="273">
        <v>0</v>
      </c>
      <c r="G136" s="285">
        <v>0</v>
      </c>
      <c r="H136" s="231">
        <v>0</v>
      </c>
      <c r="I136" s="230">
        <v>73966</v>
      </c>
      <c r="J136" s="273">
        <v>20.5</v>
      </c>
      <c r="K136" s="285">
        <v>0</v>
      </c>
      <c r="L136" s="231">
        <v>0</v>
      </c>
      <c r="M136" s="230">
        <v>94347</v>
      </c>
      <c r="N136" s="231">
        <v>26.2</v>
      </c>
      <c r="O136" s="230">
        <v>188740</v>
      </c>
      <c r="P136" s="231">
        <v>52.4</v>
      </c>
      <c r="Q136" s="230">
        <v>0</v>
      </c>
      <c r="R136" s="231">
        <v>0</v>
      </c>
      <c r="S136" s="230">
        <v>85693</v>
      </c>
      <c r="T136" s="231">
        <v>35.700000000000003</v>
      </c>
      <c r="U136" s="230">
        <v>0</v>
      </c>
      <c r="V136" s="231">
        <v>0</v>
      </c>
      <c r="W136" s="230">
        <v>189046</v>
      </c>
      <c r="X136" s="231">
        <v>52.5</v>
      </c>
      <c r="Y136" s="230">
        <v>61993</v>
      </c>
      <c r="Z136" s="273">
        <v>25.8</v>
      </c>
    </row>
    <row r="137" spans="1:26" s="20" customFormat="1" x14ac:dyDescent="0.2">
      <c r="A137" s="699"/>
      <c r="B137" s="274" t="s">
        <v>382</v>
      </c>
      <c r="C137" s="275">
        <v>38752</v>
      </c>
      <c r="D137" s="276">
        <v>242.2</v>
      </c>
      <c r="E137" s="277">
        <v>183190</v>
      </c>
      <c r="F137" s="287">
        <v>203.5</v>
      </c>
      <c r="G137" s="286">
        <v>77200</v>
      </c>
      <c r="H137" s="276">
        <v>257.3</v>
      </c>
      <c r="I137" s="275">
        <v>890490</v>
      </c>
      <c r="J137" s="279">
        <v>247.4</v>
      </c>
      <c r="K137" s="286">
        <v>546743</v>
      </c>
      <c r="L137" s="276">
        <v>227.8</v>
      </c>
      <c r="M137" s="275">
        <v>982464</v>
      </c>
      <c r="N137" s="276">
        <v>272.89999999999998</v>
      </c>
      <c r="O137" s="275">
        <v>1749415</v>
      </c>
      <c r="P137" s="276">
        <v>485.9</v>
      </c>
      <c r="Q137" s="275">
        <v>835190</v>
      </c>
      <c r="R137" s="276">
        <v>348</v>
      </c>
      <c r="S137" s="275">
        <v>899205</v>
      </c>
      <c r="T137" s="276">
        <v>374.7</v>
      </c>
      <c r="U137" s="275">
        <v>1113868</v>
      </c>
      <c r="V137" s="276">
        <v>348.1</v>
      </c>
      <c r="W137" s="275">
        <v>1372414</v>
      </c>
      <c r="X137" s="276">
        <v>381.2</v>
      </c>
      <c r="Y137" s="275">
        <v>676461</v>
      </c>
      <c r="Z137" s="279">
        <v>281.89999999999998</v>
      </c>
    </row>
    <row r="138" spans="1:26" s="216" customFormat="1" x14ac:dyDescent="0.2">
      <c r="A138" s="699"/>
      <c r="B138" s="283" t="s">
        <v>491</v>
      </c>
      <c r="C138" s="289" t="s">
        <v>372</v>
      </c>
      <c r="D138" s="291" t="s">
        <v>397</v>
      </c>
      <c r="E138" s="289" t="s">
        <v>372</v>
      </c>
      <c r="F138" s="291" t="s">
        <v>397</v>
      </c>
      <c r="G138" s="289" t="s">
        <v>372</v>
      </c>
      <c r="H138" s="291" t="s">
        <v>397</v>
      </c>
      <c r="I138" s="289" t="s">
        <v>372</v>
      </c>
      <c r="J138" s="291" t="s">
        <v>397</v>
      </c>
      <c r="K138" s="289" t="s">
        <v>372</v>
      </c>
      <c r="L138" s="291" t="s">
        <v>397</v>
      </c>
      <c r="M138" s="289" t="s">
        <v>372</v>
      </c>
      <c r="N138" s="291" t="s">
        <v>397</v>
      </c>
      <c r="O138" s="289" t="s">
        <v>372</v>
      </c>
      <c r="P138" s="291" t="s">
        <v>397</v>
      </c>
      <c r="Q138" s="289" t="s">
        <v>372</v>
      </c>
      <c r="R138" s="291" t="s">
        <v>397</v>
      </c>
      <c r="S138" s="289" t="s">
        <v>372</v>
      </c>
      <c r="T138" s="291" t="s">
        <v>397</v>
      </c>
      <c r="U138" s="289" t="s">
        <v>372</v>
      </c>
      <c r="V138" s="291" t="s">
        <v>397</v>
      </c>
      <c r="W138" s="289" t="s">
        <v>372</v>
      </c>
      <c r="X138" s="291" t="s">
        <v>397</v>
      </c>
      <c r="Y138" s="289" t="s">
        <v>372</v>
      </c>
      <c r="Z138" s="291" t="s">
        <v>397</v>
      </c>
    </row>
    <row r="139" spans="1:26" x14ac:dyDescent="0.2">
      <c r="A139" s="699"/>
      <c r="B139" s="272" t="s">
        <v>373</v>
      </c>
      <c r="C139" s="230">
        <f>C$6-C128</f>
        <v>2650</v>
      </c>
      <c r="D139" s="293">
        <f t="shared" ref="D139:Z139" si="41">D$6-D128</f>
        <v>16.600000000000023</v>
      </c>
      <c r="E139" s="230">
        <f t="shared" si="41"/>
        <v>33478</v>
      </c>
      <c r="F139" s="293">
        <f t="shared" si="41"/>
        <v>37.200000000000017</v>
      </c>
      <c r="G139" s="230">
        <f t="shared" si="41"/>
        <v>0</v>
      </c>
      <c r="H139" s="293">
        <f t="shared" si="41"/>
        <v>0</v>
      </c>
      <c r="I139" s="230">
        <f t="shared" si="41"/>
        <v>0</v>
      </c>
      <c r="J139" s="293">
        <f t="shared" si="41"/>
        <v>0</v>
      </c>
      <c r="K139" s="230">
        <f t="shared" si="41"/>
        <v>534</v>
      </c>
      <c r="L139" s="293">
        <f t="shared" si="41"/>
        <v>0.29999999999999716</v>
      </c>
      <c r="M139" s="230">
        <f t="shared" si="41"/>
        <v>0</v>
      </c>
      <c r="N139" s="293">
        <f t="shared" si="41"/>
        <v>0</v>
      </c>
      <c r="O139" s="230">
        <f t="shared" si="41"/>
        <v>0</v>
      </c>
      <c r="P139" s="293">
        <f t="shared" si="41"/>
        <v>0</v>
      </c>
      <c r="Q139" s="230">
        <f t="shared" si="41"/>
        <v>0</v>
      </c>
      <c r="R139" s="293">
        <f t="shared" si="41"/>
        <v>0</v>
      </c>
      <c r="S139" s="230">
        <f t="shared" si="41"/>
        <v>58</v>
      </c>
      <c r="T139" s="293">
        <f t="shared" si="41"/>
        <v>9.9999999999994316E-2</v>
      </c>
      <c r="U139" s="230">
        <f t="shared" si="41"/>
        <v>50</v>
      </c>
      <c r="V139" s="293">
        <f t="shared" si="41"/>
        <v>0</v>
      </c>
      <c r="W139" s="230">
        <f t="shared" si="41"/>
        <v>346</v>
      </c>
      <c r="X139" s="293">
        <f t="shared" si="41"/>
        <v>9.9999999999994316E-2</v>
      </c>
      <c r="Y139" s="230">
        <f t="shared" si="41"/>
        <v>0</v>
      </c>
      <c r="Z139" s="293">
        <f t="shared" si="41"/>
        <v>0</v>
      </c>
    </row>
    <row r="140" spans="1:26" x14ac:dyDescent="0.2">
      <c r="A140" s="699"/>
      <c r="B140" s="272" t="s">
        <v>374</v>
      </c>
      <c r="C140" s="230">
        <f t="shared" ref="C140:Z140" si="42">C$7-C129</f>
        <v>-17</v>
      </c>
      <c r="D140" s="293">
        <f t="shared" si="42"/>
        <v>-0.1</v>
      </c>
      <c r="E140" s="230">
        <f t="shared" si="42"/>
        <v>-118</v>
      </c>
      <c r="F140" s="293">
        <f t="shared" si="42"/>
        <v>-0.1</v>
      </c>
      <c r="G140" s="230">
        <f t="shared" si="42"/>
        <v>7886</v>
      </c>
      <c r="H140" s="293">
        <f t="shared" si="42"/>
        <v>26.3</v>
      </c>
      <c r="I140" s="230">
        <f t="shared" si="42"/>
        <v>93949</v>
      </c>
      <c r="J140" s="293">
        <f t="shared" si="42"/>
        <v>26.099999999999998</v>
      </c>
      <c r="K140" s="230">
        <f t="shared" si="42"/>
        <v>79507</v>
      </c>
      <c r="L140" s="293">
        <f t="shared" si="42"/>
        <v>33.1</v>
      </c>
      <c r="M140" s="230">
        <f t="shared" si="42"/>
        <v>122527</v>
      </c>
      <c r="N140" s="293">
        <f t="shared" si="42"/>
        <v>34</v>
      </c>
      <c r="O140" s="230">
        <f t="shared" si="42"/>
        <v>303488</v>
      </c>
      <c r="P140" s="293">
        <f t="shared" si="42"/>
        <v>84.300000000000011</v>
      </c>
      <c r="Q140" s="230">
        <f t="shared" si="42"/>
        <v>183041</v>
      </c>
      <c r="R140" s="293">
        <f t="shared" si="42"/>
        <v>76.3</v>
      </c>
      <c r="S140" s="230">
        <f t="shared" si="42"/>
        <v>116020</v>
      </c>
      <c r="T140" s="293">
        <f t="shared" si="42"/>
        <v>48.300000000000004</v>
      </c>
      <c r="U140" s="230">
        <f t="shared" si="42"/>
        <v>99463</v>
      </c>
      <c r="V140" s="293">
        <f t="shared" si="42"/>
        <v>31.1</v>
      </c>
      <c r="W140" s="230">
        <f t="shared" si="42"/>
        <v>215272</v>
      </c>
      <c r="X140" s="293">
        <f t="shared" si="42"/>
        <v>59.8</v>
      </c>
      <c r="Y140" s="230">
        <f t="shared" si="42"/>
        <v>66756</v>
      </c>
      <c r="Z140" s="293">
        <f t="shared" si="42"/>
        <v>27.8</v>
      </c>
    </row>
    <row r="141" spans="1:26" x14ac:dyDescent="0.2">
      <c r="A141" s="699"/>
      <c r="B141" s="272" t="s">
        <v>375</v>
      </c>
      <c r="C141" s="230">
        <f>C$8-C130</f>
        <v>0</v>
      </c>
      <c r="D141" s="293">
        <f t="shared" ref="D141:Z141" si="43">D$8-D130</f>
        <v>0</v>
      </c>
      <c r="E141" s="230">
        <f t="shared" si="43"/>
        <v>0</v>
      </c>
      <c r="F141" s="293">
        <f t="shared" si="43"/>
        <v>0</v>
      </c>
      <c r="G141" s="230">
        <f t="shared" si="43"/>
        <v>0</v>
      </c>
      <c r="H141" s="293">
        <f t="shared" si="43"/>
        <v>0</v>
      </c>
      <c r="I141" s="230">
        <f t="shared" si="43"/>
        <v>0</v>
      </c>
      <c r="J141" s="293">
        <f t="shared" si="43"/>
        <v>0</v>
      </c>
      <c r="K141" s="230">
        <f t="shared" si="43"/>
        <v>0</v>
      </c>
      <c r="L141" s="293">
        <f t="shared" si="43"/>
        <v>0</v>
      </c>
      <c r="M141" s="230">
        <f t="shared" si="43"/>
        <v>0</v>
      </c>
      <c r="N141" s="293">
        <f t="shared" si="43"/>
        <v>0</v>
      </c>
      <c r="O141" s="230">
        <f t="shared" si="43"/>
        <v>0</v>
      </c>
      <c r="P141" s="293">
        <f t="shared" si="43"/>
        <v>0</v>
      </c>
      <c r="Q141" s="230">
        <f t="shared" si="43"/>
        <v>0</v>
      </c>
      <c r="R141" s="293">
        <f t="shared" si="43"/>
        <v>0</v>
      </c>
      <c r="S141" s="230">
        <f t="shared" si="43"/>
        <v>0</v>
      </c>
      <c r="T141" s="293">
        <f t="shared" si="43"/>
        <v>0</v>
      </c>
      <c r="U141" s="230">
        <f t="shared" si="43"/>
        <v>0</v>
      </c>
      <c r="V141" s="293">
        <f t="shared" si="43"/>
        <v>0</v>
      </c>
      <c r="W141" s="230">
        <f t="shared" si="43"/>
        <v>0</v>
      </c>
      <c r="X141" s="293">
        <f t="shared" si="43"/>
        <v>0</v>
      </c>
      <c r="Y141" s="230">
        <f t="shared" si="43"/>
        <v>0</v>
      </c>
      <c r="Z141" s="293">
        <f t="shared" si="43"/>
        <v>0</v>
      </c>
    </row>
    <row r="142" spans="1:26" x14ac:dyDescent="0.2">
      <c r="A142" s="699"/>
      <c r="B142" s="272" t="s">
        <v>376</v>
      </c>
      <c r="C142" s="230">
        <f t="shared" ref="C142:Z142" si="44">C$9-C131</f>
        <v>-701</v>
      </c>
      <c r="D142" s="293">
        <f t="shared" si="44"/>
        <v>-4.4000000000000004</v>
      </c>
      <c r="E142" s="230">
        <f t="shared" si="44"/>
        <v>-4925</v>
      </c>
      <c r="F142" s="293">
        <f t="shared" si="44"/>
        <v>-5.5</v>
      </c>
      <c r="G142" s="230">
        <f t="shared" si="44"/>
        <v>0</v>
      </c>
      <c r="H142" s="293">
        <f t="shared" si="44"/>
        <v>0</v>
      </c>
      <c r="I142" s="230">
        <f t="shared" si="44"/>
        <v>0</v>
      </c>
      <c r="J142" s="293">
        <f t="shared" si="44"/>
        <v>0</v>
      </c>
      <c r="K142" s="230">
        <f t="shared" si="44"/>
        <v>0</v>
      </c>
      <c r="L142" s="293">
        <f t="shared" si="44"/>
        <v>0</v>
      </c>
      <c r="M142" s="230">
        <f t="shared" si="44"/>
        <v>0</v>
      </c>
      <c r="N142" s="293">
        <f t="shared" si="44"/>
        <v>0</v>
      </c>
      <c r="O142" s="230">
        <f t="shared" si="44"/>
        <v>0</v>
      </c>
      <c r="P142" s="293">
        <f t="shared" si="44"/>
        <v>0</v>
      </c>
      <c r="Q142" s="230">
        <f t="shared" si="44"/>
        <v>0</v>
      </c>
      <c r="R142" s="293">
        <f t="shared" si="44"/>
        <v>0</v>
      </c>
      <c r="S142" s="230">
        <f t="shared" si="44"/>
        <v>0</v>
      </c>
      <c r="T142" s="293">
        <f t="shared" si="44"/>
        <v>0</v>
      </c>
      <c r="U142" s="230">
        <f t="shared" si="44"/>
        <v>0</v>
      </c>
      <c r="V142" s="293">
        <f t="shared" si="44"/>
        <v>0</v>
      </c>
      <c r="W142" s="230">
        <f t="shared" si="44"/>
        <v>0</v>
      </c>
      <c r="X142" s="293">
        <f t="shared" si="44"/>
        <v>0</v>
      </c>
      <c r="Y142" s="230">
        <f t="shared" si="44"/>
        <v>0</v>
      </c>
      <c r="Z142" s="293">
        <f t="shared" si="44"/>
        <v>0</v>
      </c>
    </row>
    <row r="143" spans="1:26" x14ac:dyDescent="0.2">
      <c r="A143" s="699"/>
      <c r="B143" s="272" t="s">
        <v>377</v>
      </c>
      <c r="C143" s="230">
        <f t="shared" ref="C143:Z143" si="45">C$10-C132</f>
        <v>18</v>
      </c>
      <c r="D143" s="293">
        <f t="shared" si="45"/>
        <v>9.9999999999999867E-2</v>
      </c>
      <c r="E143" s="230">
        <f t="shared" si="45"/>
        <v>211</v>
      </c>
      <c r="F143" s="293">
        <f t="shared" si="45"/>
        <v>0.30000000000000004</v>
      </c>
      <c r="G143" s="230">
        <f t="shared" si="45"/>
        <v>158</v>
      </c>
      <c r="H143" s="293">
        <f t="shared" si="45"/>
        <v>0.60000000000000009</v>
      </c>
      <c r="I143" s="230">
        <f t="shared" si="45"/>
        <v>1118</v>
      </c>
      <c r="J143" s="293">
        <f t="shared" si="45"/>
        <v>0.40000000000000036</v>
      </c>
      <c r="K143" s="230">
        <f t="shared" si="45"/>
        <v>2097</v>
      </c>
      <c r="L143" s="293">
        <f t="shared" si="45"/>
        <v>0.8</v>
      </c>
      <c r="M143" s="230">
        <f t="shared" si="45"/>
        <v>1452</v>
      </c>
      <c r="N143" s="293">
        <f t="shared" si="45"/>
        <v>0.39999999999999991</v>
      </c>
      <c r="O143" s="230">
        <f t="shared" si="45"/>
        <v>1787</v>
      </c>
      <c r="P143" s="293">
        <f t="shared" si="45"/>
        <v>0.5</v>
      </c>
      <c r="Q143" s="230">
        <f t="shared" si="45"/>
        <v>1425</v>
      </c>
      <c r="R143" s="293">
        <f t="shared" si="45"/>
        <v>0.6</v>
      </c>
      <c r="S143" s="230">
        <f t="shared" si="45"/>
        <v>812</v>
      </c>
      <c r="T143" s="293">
        <f t="shared" si="45"/>
        <v>0.40000000000000036</v>
      </c>
      <c r="U143" s="230">
        <f t="shared" si="45"/>
        <v>1509</v>
      </c>
      <c r="V143" s="293">
        <f t="shared" si="45"/>
        <v>0.5</v>
      </c>
      <c r="W143" s="230">
        <f t="shared" si="45"/>
        <v>1823</v>
      </c>
      <c r="X143" s="293">
        <f t="shared" si="45"/>
        <v>0.5</v>
      </c>
      <c r="Y143" s="230">
        <f t="shared" si="45"/>
        <v>591</v>
      </c>
      <c r="Z143" s="293">
        <f t="shared" si="45"/>
        <v>0.20000000000000018</v>
      </c>
    </row>
    <row r="144" spans="1:26" x14ac:dyDescent="0.2">
      <c r="A144" s="699"/>
      <c r="B144" s="272" t="s">
        <v>378</v>
      </c>
      <c r="C144" s="230">
        <f t="shared" ref="C144:Z144" si="46">C$11-C133</f>
        <v>0</v>
      </c>
      <c r="D144" s="293">
        <f t="shared" si="46"/>
        <v>0</v>
      </c>
      <c r="E144" s="230">
        <f t="shared" si="46"/>
        <v>0</v>
      </c>
      <c r="F144" s="293">
        <f t="shared" si="46"/>
        <v>0</v>
      </c>
      <c r="G144" s="230">
        <f t="shared" si="46"/>
        <v>0</v>
      </c>
      <c r="H144" s="293">
        <f t="shared" si="46"/>
        <v>0</v>
      </c>
      <c r="I144" s="230">
        <f t="shared" si="46"/>
        <v>0</v>
      </c>
      <c r="J144" s="293">
        <f t="shared" si="46"/>
        <v>0</v>
      </c>
      <c r="K144" s="230">
        <f t="shared" si="46"/>
        <v>0</v>
      </c>
      <c r="L144" s="293">
        <f t="shared" si="46"/>
        <v>0</v>
      </c>
      <c r="M144" s="230">
        <f t="shared" si="46"/>
        <v>0</v>
      </c>
      <c r="N144" s="293">
        <f t="shared" si="46"/>
        <v>0</v>
      </c>
      <c r="O144" s="230">
        <f t="shared" si="46"/>
        <v>0</v>
      </c>
      <c r="P144" s="293">
        <f t="shared" si="46"/>
        <v>0</v>
      </c>
      <c r="Q144" s="230">
        <f t="shared" si="46"/>
        <v>0</v>
      </c>
      <c r="R144" s="293">
        <f t="shared" si="46"/>
        <v>0</v>
      </c>
      <c r="S144" s="230">
        <f t="shared" si="46"/>
        <v>0</v>
      </c>
      <c r="T144" s="293">
        <f t="shared" si="46"/>
        <v>0</v>
      </c>
      <c r="U144" s="230">
        <f t="shared" si="46"/>
        <v>0</v>
      </c>
      <c r="V144" s="293">
        <f t="shared" si="46"/>
        <v>0</v>
      </c>
      <c r="W144" s="230">
        <f t="shared" si="46"/>
        <v>0</v>
      </c>
      <c r="X144" s="293">
        <f t="shared" si="46"/>
        <v>0</v>
      </c>
      <c r="Y144" s="230">
        <f t="shared" si="46"/>
        <v>0</v>
      </c>
      <c r="Z144" s="293">
        <f t="shared" si="46"/>
        <v>0</v>
      </c>
    </row>
    <row r="145" spans="1:26" x14ac:dyDescent="0.2">
      <c r="A145" s="699"/>
      <c r="B145" s="272" t="s">
        <v>379</v>
      </c>
      <c r="C145" s="230">
        <f t="shared" ref="C145:Z145" si="47">C$12-C134</f>
        <v>0</v>
      </c>
      <c r="D145" s="293">
        <f t="shared" si="47"/>
        <v>0</v>
      </c>
      <c r="E145" s="230">
        <f t="shared" si="47"/>
        <v>0</v>
      </c>
      <c r="F145" s="293">
        <f t="shared" si="47"/>
        <v>0</v>
      </c>
      <c r="G145" s="230">
        <f t="shared" si="47"/>
        <v>0</v>
      </c>
      <c r="H145" s="293">
        <f t="shared" si="47"/>
        <v>0</v>
      </c>
      <c r="I145" s="230">
        <f t="shared" si="47"/>
        <v>0</v>
      </c>
      <c r="J145" s="293">
        <f t="shared" si="47"/>
        <v>0</v>
      </c>
      <c r="K145" s="230">
        <f t="shared" si="47"/>
        <v>0</v>
      </c>
      <c r="L145" s="293">
        <f t="shared" si="47"/>
        <v>0</v>
      </c>
      <c r="M145" s="230">
        <f t="shared" si="47"/>
        <v>0</v>
      </c>
      <c r="N145" s="293">
        <f t="shared" si="47"/>
        <v>0</v>
      </c>
      <c r="O145" s="230">
        <f t="shared" si="47"/>
        <v>0</v>
      </c>
      <c r="P145" s="293">
        <f t="shared" si="47"/>
        <v>0</v>
      </c>
      <c r="Q145" s="230">
        <f t="shared" si="47"/>
        <v>0</v>
      </c>
      <c r="R145" s="293">
        <f t="shared" si="47"/>
        <v>0</v>
      </c>
      <c r="S145" s="230">
        <f t="shared" si="47"/>
        <v>0</v>
      </c>
      <c r="T145" s="293">
        <f t="shared" si="47"/>
        <v>0</v>
      </c>
      <c r="U145" s="230">
        <f t="shared" si="47"/>
        <v>0</v>
      </c>
      <c r="V145" s="293">
        <f t="shared" si="47"/>
        <v>0</v>
      </c>
      <c r="W145" s="230">
        <f t="shared" si="47"/>
        <v>0</v>
      </c>
      <c r="X145" s="293">
        <f t="shared" si="47"/>
        <v>0</v>
      </c>
      <c r="Y145" s="230">
        <f t="shared" si="47"/>
        <v>0</v>
      </c>
      <c r="Z145" s="293">
        <f t="shared" si="47"/>
        <v>0</v>
      </c>
    </row>
    <row r="146" spans="1:26" x14ac:dyDescent="0.2">
      <c r="A146" s="699"/>
      <c r="B146" s="272" t="s">
        <v>380</v>
      </c>
      <c r="C146" s="230">
        <f t="shared" ref="C146:Z146" si="48">C$13-C135</f>
        <v>0</v>
      </c>
      <c r="D146" s="293">
        <f t="shared" si="48"/>
        <v>0</v>
      </c>
      <c r="E146" s="230">
        <f t="shared" si="48"/>
        <v>0</v>
      </c>
      <c r="F146" s="293">
        <f t="shared" si="48"/>
        <v>0</v>
      </c>
      <c r="G146" s="230">
        <f t="shared" si="48"/>
        <v>0</v>
      </c>
      <c r="H146" s="293">
        <f t="shared" si="48"/>
        <v>0</v>
      </c>
      <c r="I146" s="230">
        <f t="shared" si="48"/>
        <v>0</v>
      </c>
      <c r="J146" s="293">
        <f t="shared" si="48"/>
        <v>0</v>
      </c>
      <c r="K146" s="230">
        <f t="shared" si="48"/>
        <v>0</v>
      </c>
      <c r="L146" s="293">
        <f t="shared" si="48"/>
        <v>0</v>
      </c>
      <c r="M146" s="230">
        <f t="shared" si="48"/>
        <v>0</v>
      </c>
      <c r="N146" s="293">
        <f t="shared" si="48"/>
        <v>0</v>
      </c>
      <c r="O146" s="230">
        <f t="shared" si="48"/>
        <v>0</v>
      </c>
      <c r="P146" s="293">
        <f t="shared" si="48"/>
        <v>0</v>
      </c>
      <c r="Q146" s="230">
        <f t="shared" si="48"/>
        <v>0</v>
      </c>
      <c r="R146" s="293">
        <f t="shared" si="48"/>
        <v>0</v>
      </c>
      <c r="S146" s="230">
        <f t="shared" si="48"/>
        <v>0</v>
      </c>
      <c r="T146" s="293">
        <f t="shared" si="48"/>
        <v>0</v>
      </c>
      <c r="U146" s="230">
        <f t="shared" si="48"/>
        <v>0</v>
      </c>
      <c r="V146" s="293">
        <f t="shared" si="48"/>
        <v>0</v>
      </c>
      <c r="W146" s="230">
        <f t="shared" si="48"/>
        <v>0</v>
      </c>
      <c r="X146" s="293">
        <f t="shared" si="48"/>
        <v>0</v>
      </c>
      <c r="Y146" s="230">
        <f t="shared" si="48"/>
        <v>0</v>
      </c>
      <c r="Z146" s="293">
        <f t="shared" si="48"/>
        <v>0</v>
      </c>
    </row>
    <row r="147" spans="1:26" x14ac:dyDescent="0.2">
      <c r="A147" s="699"/>
      <c r="B147" s="272" t="s">
        <v>381</v>
      </c>
      <c r="C147" s="230">
        <f t="shared" ref="C147:Z147" si="49">C$14-C136</f>
        <v>0</v>
      </c>
      <c r="D147" s="293">
        <f t="shared" si="49"/>
        <v>0</v>
      </c>
      <c r="E147" s="230">
        <f t="shared" si="49"/>
        <v>0</v>
      </c>
      <c r="F147" s="293">
        <f t="shared" si="49"/>
        <v>0</v>
      </c>
      <c r="G147" s="230">
        <f t="shared" si="49"/>
        <v>0</v>
      </c>
      <c r="H147" s="293">
        <f t="shared" si="49"/>
        <v>0</v>
      </c>
      <c r="I147" s="230">
        <f t="shared" si="49"/>
        <v>0</v>
      </c>
      <c r="J147" s="293">
        <f t="shared" si="49"/>
        <v>0</v>
      </c>
      <c r="K147" s="230">
        <f t="shared" si="49"/>
        <v>0</v>
      </c>
      <c r="L147" s="293">
        <f t="shared" si="49"/>
        <v>0</v>
      </c>
      <c r="M147" s="230">
        <f t="shared" si="49"/>
        <v>0</v>
      </c>
      <c r="N147" s="293">
        <f t="shared" si="49"/>
        <v>0</v>
      </c>
      <c r="O147" s="230">
        <f t="shared" si="49"/>
        <v>0</v>
      </c>
      <c r="P147" s="293">
        <f t="shared" si="49"/>
        <v>0</v>
      </c>
      <c r="Q147" s="230">
        <f t="shared" si="49"/>
        <v>0</v>
      </c>
      <c r="R147" s="293">
        <f t="shared" si="49"/>
        <v>0</v>
      </c>
      <c r="S147" s="230">
        <f t="shared" si="49"/>
        <v>0</v>
      </c>
      <c r="T147" s="293">
        <f t="shared" si="49"/>
        <v>0</v>
      </c>
      <c r="U147" s="230">
        <f t="shared" si="49"/>
        <v>0</v>
      </c>
      <c r="V147" s="293">
        <f t="shared" si="49"/>
        <v>0</v>
      </c>
      <c r="W147" s="230">
        <f t="shared" si="49"/>
        <v>0</v>
      </c>
      <c r="X147" s="293">
        <f t="shared" si="49"/>
        <v>0</v>
      </c>
      <c r="Y147" s="230">
        <f t="shared" si="49"/>
        <v>0</v>
      </c>
      <c r="Z147" s="293">
        <f t="shared" si="49"/>
        <v>0</v>
      </c>
    </row>
    <row r="148" spans="1:26" s="20" customFormat="1" x14ac:dyDescent="0.2">
      <c r="A148" s="700"/>
      <c r="B148" s="274" t="s">
        <v>382</v>
      </c>
      <c r="C148" s="275">
        <f t="shared" ref="C148:Z148" si="50">C$15-C137</f>
        <v>1951</v>
      </c>
      <c r="D148" s="294">
        <f t="shared" si="50"/>
        <v>12.200000000000017</v>
      </c>
      <c r="E148" s="275">
        <f t="shared" si="50"/>
        <v>28647</v>
      </c>
      <c r="F148" s="294">
        <f t="shared" si="50"/>
        <v>31.900000000000006</v>
      </c>
      <c r="G148" s="275">
        <f t="shared" si="50"/>
        <v>8043</v>
      </c>
      <c r="H148" s="294">
        <f t="shared" si="50"/>
        <v>26.800000000000011</v>
      </c>
      <c r="I148" s="275">
        <f t="shared" si="50"/>
        <v>95066</v>
      </c>
      <c r="J148" s="294">
        <f t="shared" si="50"/>
        <v>26.400000000000006</v>
      </c>
      <c r="K148" s="275">
        <f t="shared" si="50"/>
        <v>82140</v>
      </c>
      <c r="L148" s="294">
        <f t="shared" si="50"/>
        <v>34.199999999999989</v>
      </c>
      <c r="M148" s="275">
        <f t="shared" si="50"/>
        <v>123979</v>
      </c>
      <c r="N148" s="294">
        <f t="shared" si="50"/>
        <v>34.400000000000034</v>
      </c>
      <c r="O148" s="275">
        <f t="shared" si="50"/>
        <v>305276</v>
      </c>
      <c r="P148" s="294">
        <f t="shared" si="50"/>
        <v>84.800000000000068</v>
      </c>
      <c r="Q148" s="275">
        <f t="shared" si="50"/>
        <v>184466</v>
      </c>
      <c r="R148" s="294">
        <f t="shared" si="50"/>
        <v>76.899999999999977</v>
      </c>
      <c r="S148" s="275">
        <f t="shared" si="50"/>
        <v>116890</v>
      </c>
      <c r="T148" s="294">
        <f t="shared" si="50"/>
        <v>48.699999999999989</v>
      </c>
      <c r="U148" s="275">
        <f t="shared" si="50"/>
        <v>101023</v>
      </c>
      <c r="V148" s="294">
        <f t="shared" si="50"/>
        <v>31.599999999999966</v>
      </c>
      <c r="W148" s="275">
        <f t="shared" si="50"/>
        <v>217441</v>
      </c>
      <c r="X148" s="294">
        <f t="shared" si="50"/>
        <v>60.400000000000034</v>
      </c>
      <c r="Y148" s="275">
        <f t="shared" si="50"/>
        <v>67347</v>
      </c>
      <c r="Z148" s="294">
        <f t="shared" si="50"/>
        <v>28</v>
      </c>
    </row>
    <row r="149" spans="1:26" s="20" customFormat="1" x14ac:dyDescent="0.2">
      <c r="A149" s="266"/>
      <c r="B149" s="227"/>
      <c r="C149" s="267"/>
      <c r="D149" s="232"/>
      <c r="E149" s="268"/>
      <c r="F149" s="237"/>
      <c r="G149" s="267"/>
      <c r="H149" s="232"/>
      <c r="I149" s="267"/>
      <c r="J149" s="232"/>
      <c r="K149" s="267"/>
      <c r="L149" s="232"/>
      <c r="M149" s="267"/>
      <c r="N149" s="232"/>
      <c r="O149" s="267"/>
      <c r="P149" s="232"/>
      <c r="Q149" s="267"/>
      <c r="R149" s="232"/>
      <c r="S149" s="267"/>
      <c r="T149" s="232"/>
      <c r="U149" s="267"/>
      <c r="V149" s="232"/>
      <c r="W149" s="267"/>
      <c r="X149" s="232"/>
      <c r="Y149" s="267"/>
      <c r="Z149" s="232"/>
    </row>
    <row r="150" spans="1:26" s="202" customFormat="1" ht="13.15" customHeight="1" x14ac:dyDescent="0.2">
      <c r="A150" s="698" t="s">
        <v>515</v>
      </c>
      <c r="B150" s="269" t="s">
        <v>488</v>
      </c>
      <c r="C150" s="368"/>
      <c r="D150" s="369"/>
      <c r="E150" s="368"/>
      <c r="F150" s="369"/>
      <c r="G150" s="304" t="s">
        <v>486</v>
      </c>
      <c r="H150" s="280" t="s">
        <v>487</v>
      </c>
      <c r="I150" s="304" t="s">
        <v>486</v>
      </c>
      <c r="J150" s="280" t="s">
        <v>487</v>
      </c>
      <c r="K150" s="304" t="s">
        <v>486</v>
      </c>
      <c r="L150" s="280" t="s">
        <v>487</v>
      </c>
      <c r="M150" s="304" t="s">
        <v>486</v>
      </c>
      <c r="N150" s="280" t="s">
        <v>487</v>
      </c>
      <c r="O150" s="304" t="s">
        <v>486</v>
      </c>
      <c r="P150" s="280" t="s">
        <v>487</v>
      </c>
      <c r="Q150" s="304" t="s">
        <v>486</v>
      </c>
      <c r="R150" s="280" t="s">
        <v>487</v>
      </c>
      <c r="S150" s="304" t="s">
        <v>486</v>
      </c>
      <c r="T150" s="280" t="s">
        <v>487</v>
      </c>
      <c r="U150" s="304" t="s">
        <v>486</v>
      </c>
      <c r="V150" s="280" t="s">
        <v>487</v>
      </c>
      <c r="W150" s="304" t="s">
        <v>486</v>
      </c>
      <c r="X150" s="280" t="s">
        <v>487</v>
      </c>
      <c r="Y150" s="304" t="s">
        <v>486</v>
      </c>
      <c r="Z150" s="314" t="s">
        <v>487</v>
      </c>
    </row>
    <row r="151" spans="1:26" x14ac:dyDescent="0.2">
      <c r="A151" s="699"/>
      <c r="B151" s="316" t="s">
        <v>283</v>
      </c>
      <c r="C151" s="372"/>
      <c r="D151" s="424"/>
      <c r="E151" s="372"/>
      <c r="F151" s="424"/>
      <c r="G151" s="317">
        <f>'6 Oversikt startpunkt'!D52</f>
        <v>3.5</v>
      </c>
      <c r="H151" s="318">
        <f>(G151+'7 Passivhusnivå'!F36)*0.5</f>
        <v>2.5</v>
      </c>
      <c r="I151" s="317">
        <f>'6 Oversikt startpunkt'!E52</f>
        <v>3.5</v>
      </c>
      <c r="J151" s="318">
        <f>(I151+'7 Passivhusnivå'!G36)*0.5</f>
        <v>2.5</v>
      </c>
      <c r="K151" s="317">
        <f>'6 Oversikt startpunkt'!F52</f>
        <v>3.5</v>
      </c>
      <c r="L151" s="320">
        <f>(K151+'7 Passivhusnivå'!H36)*0.5</f>
        <v>2.5</v>
      </c>
      <c r="M151" s="318">
        <f>'6 Oversikt startpunkt'!G52</f>
        <v>3.5</v>
      </c>
      <c r="N151" s="318">
        <f>(M151+'7 Passivhusnivå'!I36)*0.5</f>
        <v>2.5</v>
      </c>
      <c r="O151" s="317">
        <f>'6 Oversikt startpunkt'!H52</f>
        <v>3.5</v>
      </c>
      <c r="P151" s="320">
        <f>(O151+'7 Passivhusnivå'!J36)*0.5</f>
        <v>2.5</v>
      </c>
      <c r="Q151" s="318">
        <f>'6 Oversikt startpunkt'!I52</f>
        <v>3.5</v>
      </c>
      <c r="R151" s="318">
        <f>(Q151+'7 Passivhusnivå'!K36)*0.5</f>
        <v>2.5</v>
      </c>
      <c r="S151" s="317">
        <f>'6 Oversikt startpunkt'!J52</f>
        <v>3.5</v>
      </c>
      <c r="T151" s="318">
        <f>(S151+'7 Passivhusnivå'!L36)*0.5</f>
        <v>2.5</v>
      </c>
      <c r="U151" s="319">
        <f>'6 Oversikt startpunkt'!K52</f>
        <v>3.5</v>
      </c>
      <c r="V151" s="318">
        <f>(U151+'7 Passivhusnivå'!M36)*0.5</f>
        <v>2.5</v>
      </c>
      <c r="W151" s="317">
        <f>'6 Oversikt startpunkt'!L52</f>
        <v>3.5</v>
      </c>
      <c r="X151" s="318">
        <f>(W151+'7 Passivhusnivå'!N36)*0.5</f>
        <v>2.5</v>
      </c>
      <c r="Y151" s="317">
        <f>'6 Oversikt startpunkt'!M52</f>
        <v>3.5</v>
      </c>
      <c r="Z151" s="320">
        <f>(Y151+'7 Passivhusnivå'!O36)*0.5</f>
        <v>2.5</v>
      </c>
    </row>
    <row r="152" spans="1:26" s="216" customFormat="1" x14ac:dyDescent="0.2">
      <c r="A152" s="699"/>
      <c r="B152" s="288" t="s">
        <v>490</v>
      </c>
      <c r="C152" s="353"/>
      <c r="D152" s="374"/>
      <c r="E152" s="353"/>
      <c r="F152" s="354"/>
      <c r="G152" s="292" t="s">
        <v>372</v>
      </c>
      <c r="H152" s="290" t="s">
        <v>397</v>
      </c>
      <c r="I152" s="289" t="s">
        <v>372</v>
      </c>
      <c r="J152" s="291" t="s">
        <v>397</v>
      </c>
      <c r="K152" s="292" t="s">
        <v>372</v>
      </c>
      <c r="L152" s="290" t="s">
        <v>397</v>
      </c>
      <c r="M152" s="289" t="s">
        <v>372</v>
      </c>
      <c r="N152" s="290" t="s">
        <v>397</v>
      </c>
      <c r="O152" s="289" t="s">
        <v>372</v>
      </c>
      <c r="P152" s="290" t="s">
        <v>397</v>
      </c>
      <c r="Q152" s="289" t="s">
        <v>372</v>
      </c>
      <c r="R152" s="290" t="s">
        <v>397</v>
      </c>
      <c r="S152" s="289" t="s">
        <v>372</v>
      </c>
      <c r="T152" s="290" t="s">
        <v>397</v>
      </c>
      <c r="U152" s="289" t="s">
        <v>372</v>
      </c>
      <c r="V152" s="290" t="s">
        <v>397</v>
      </c>
      <c r="W152" s="289" t="s">
        <v>372</v>
      </c>
      <c r="X152" s="290" t="s">
        <v>397</v>
      </c>
      <c r="Y152" s="289" t="s">
        <v>372</v>
      </c>
      <c r="Z152" s="291" t="s">
        <v>397</v>
      </c>
    </row>
    <row r="153" spans="1:26" x14ac:dyDescent="0.2">
      <c r="A153" s="699"/>
      <c r="B153" s="272" t="s">
        <v>373</v>
      </c>
      <c r="C153" s="355"/>
      <c r="D153" s="375"/>
      <c r="E153" s="355"/>
      <c r="F153" s="376"/>
      <c r="G153" s="285">
        <v>49834</v>
      </c>
      <c r="H153" s="231">
        <v>166.1</v>
      </c>
      <c r="I153" s="230">
        <v>362019</v>
      </c>
      <c r="J153" s="273">
        <v>100.6</v>
      </c>
      <c r="K153" s="285">
        <v>296179</v>
      </c>
      <c r="L153" s="231">
        <v>123.4</v>
      </c>
      <c r="M153" s="230">
        <v>391994</v>
      </c>
      <c r="N153" s="231">
        <v>108.9</v>
      </c>
      <c r="O153" s="230">
        <v>570009</v>
      </c>
      <c r="P153" s="231">
        <v>158.30000000000001</v>
      </c>
      <c r="Q153" s="230">
        <v>276353</v>
      </c>
      <c r="R153" s="231">
        <v>115.1</v>
      </c>
      <c r="S153" s="230">
        <v>367362</v>
      </c>
      <c r="T153" s="231">
        <v>153.1</v>
      </c>
      <c r="U153" s="230">
        <v>684498</v>
      </c>
      <c r="V153" s="231">
        <v>213.9</v>
      </c>
      <c r="W153" s="230">
        <v>455906</v>
      </c>
      <c r="X153" s="231">
        <v>126.6</v>
      </c>
      <c r="Y153" s="230">
        <v>382392</v>
      </c>
      <c r="Z153" s="273">
        <v>159.30000000000001</v>
      </c>
    </row>
    <row r="154" spans="1:26" x14ac:dyDescent="0.2">
      <c r="A154" s="699"/>
      <c r="B154" s="272" t="s">
        <v>374</v>
      </c>
      <c r="C154" s="355"/>
      <c r="D154" s="375"/>
      <c r="E154" s="355"/>
      <c r="F154" s="376"/>
      <c r="G154" s="285">
        <v>9603</v>
      </c>
      <c r="H154" s="231">
        <v>32</v>
      </c>
      <c r="I154" s="230">
        <v>114293</v>
      </c>
      <c r="J154" s="273">
        <v>31.7</v>
      </c>
      <c r="K154" s="285">
        <v>96365</v>
      </c>
      <c r="L154" s="231">
        <v>40.200000000000003</v>
      </c>
      <c r="M154" s="230">
        <v>149061</v>
      </c>
      <c r="N154" s="231">
        <v>41.4</v>
      </c>
      <c r="O154" s="230">
        <v>371884</v>
      </c>
      <c r="P154" s="231">
        <v>103.3</v>
      </c>
      <c r="Q154" s="230">
        <v>224847</v>
      </c>
      <c r="R154" s="231">
        <v>93.7</v>
      </c>
      <c r="S154" s="230">
        <v>141515</v>
      </c>
      <c r="T154" s="231">
        <v>59</v>
      </c>
      <c r="U154" s="230">
        <v>149011</v>
      </c>
      <c r="V154" s="231">
        <v>46.6</v>
      </c>
      <c r="W154" s="230">
        <v>261517</v>
      </c>
      <c r="X154" s="231">
        <v>72.599999999999994</v>
      </c>
      <c r="Y154" s="230">
        <v>80682</v>
      </c>
      <c r="Z154" s="273">
        <v>33.6</v>
      </c>
    </row>
    <row r="155" spans="1:26" x14ac:dyDescent="0.2">
      <c r="A155" s="699"/>
      <c r="B155" s="272" t="s">
        <v>375</v>
      </c>
      <c r="C155" s="355"/>
      <c r="D155" s="375"/>
      <c r="E155" s="355"/>
      <c r="F155" s="376"/>
      <c r="G155" s="285">
        <v>3007</v>
      </c>
      <c r="H155" s="231">
        <v>10</v>
      </c>
      <c r="I155" s="230">
        <v>18040</v>
      </c>
      <c r="J155" s="273">
        <v>5</v>
      </c>
      <c r="K155" s="285">
        <v>23530</v>
      </c>
      <c r="L155" s="231">
        <v>9.8000000000000007</v>
      </c>
      <c r="M155" s="230">
        <v>18040</v>
      </c>
      <c r="N155" s="231">
        <v>5</v>
      </c>
      <c r="O155" s="230">
        <v>107170</v>
      </c>
      <c r="P155" s="231">
        <v>29.8</v>
      </c>
      <c r="Q155" s="230">
        <v>71482</v>
      </c>
      <c r="R155" s="231">
        <v>29.8</v>
      </c>
      <c r="S155" s="230">
        <v>71482</v>
      </c>
      <c r="T155" s="231">
        <v>29.8</v>
      </c>
      <c r="U155" s="230">
        <v>156864</v>
      </c>
      <c r="V155" s="231">
        <v>49</v>
      </c>
      <c r="W155" s="230">
        <v>36408</v>
      </c>
      <c r="X155" s="231">
        <v>10.1</v>
      </c>
      <c r="Y155" s="230">
        <v>24054</v>
      </c>
      <c r="Z155" s="273">
        <v>10</v>
      </c>
    </row>
    <row r="156" spans="1:26" x14ac:dyDescent="0.2">
      <c r="A156" s="699"/>
      <c r="B156" s="272" t="s">
        <v>376</v>
      </c>
      <c r="C156" s="355"/>
      <c r="D156" s="375"/>
      <c r="E156" s="355"/>
      <c r="F156" s="376"/>
      <c r="G156" s="285">
        <v>7504</v>
      </c>
      <c r="H156" s="231">
        <v>25</v>
      </c>
      <c r="I156" s="230">
        <v>88070</v>
      </c>
      <c r="J156" s="273">
        <v>24.5</v>
      </c>
      <c r="K156" s="285">
        <v>65938</v>
      </c>
      <c r="L156" s="231">
        <v>27.5</v>
      </c>
      <c r="M156" s="230">
        <v>114525</v>
      </c>
      <c r="N156" s="231">
        <v>31.8</v>
      </c>
      <c r="O156" s="230">
        <v>263849</v>
      </c>
      <c r="P156" s="231">
        <v>73.3</v>
      </c>
      <c r="Q156" s="230">
        <v>154497</v>
      </c>
      <c r="R156" s="231">
        <v>64.400000000000006</v>
      </c>
      <c r="S156" s="230">
        <v>106480</v>
      </c>
      <c r="T156" s="231">
        <v>44.4</v>
      </c>
      <c r="U156" s="230">
        <v>77401</v>
      </c>
      <c r="V156" s="231">
        <v>24.2</v>
      </c>
      <c r="W156" s="230">
        <v>210554</v>
      </c>
      <c r="X156" s="231">
        <v>58.5</v>
      </c>
      <c r="Y156" s="230">
        <v>65250</v>
      </c>
      <c r="Z156" s="273">
        <v>27.2</v>
      </c>
    </row>
    <row r="157" spans="1:26" x14ac:dyDescent="0.2">
      <c r="A157" s="699"/>
      <c r="B157" s="272" t="s">
        <v>377</v>
      </c>
      <c r="C157" s="355"/>
      <c r="D157" s="375"/>
      <c r="E157" s="355"/>
      <c r="F157" s="376"/>
      <c r="G157" s="285">
        <v>539</v>
      </c>
      <c r="H157" s="231">
        <v>1.8</v>
      </c>
      <c r="I157" s="230">
        <v>11437</v>
      </c>
      <c r="J157" s="273">
        <v>3.2</v>
      </c>
      <c r="K157" s="285">
        <v>4507</v>
      </c>
      <c r="L157" s="231">
        <v>1.9</v>
      </c>
      <c r="M157" s="230">
        <v>13131</v>
      </c>
      <c r="N157" s="231">
        <v>3.6</v>
      </c>
      <c r="O157" s="230">
        <v>16258</v>
      </c>
      <c r="P157" s="231">
        <v>4.5</v>
      </c>
      <c r="Q157" s="230">
        <v>3757</v>
      </c>
      <c r="R157" s="231">
        <v>1.6</v>
      </c>
      <c r="S157" s="230">
        <v>13081</v>
      </c>
      <c r="T157" s="231">
        <v>5.5</v>
      </c>
      <c r="U157" s="230">
        <v>6706</v>
      </c>
      <c r="V157" s="231">
        <v>2.1</v>
      </c>
      <c r="W157" s="230">
        <v>18021</v>
      </c>
      <c r="X157" s="231">
        <v>5</v>
      </c>
      <c r="Y157" s="230">
        <v>8435</v>
      </c>
      <c r="Z157" s="273">
        <v>3.5</v>
      </c>
    </row>
    <row r="158" spans="1:26" x14ac:dyDescent="0.2">
      <c r="A158" s="699"/>
      <c r="B158" s="272" t="s">
        <v>378</v>
      </c>
      <c r="C158" s="355"/>
      <c r="D158" s="375"/>
      <c r="E158" s="355"/>
      <c r="F158" s="376"/>
      <c r="G158" s="285">
        <v>10805</v>
      </c>
      <c r="H158" s="231">
        <v>36</v>
      </c>
      <c r="I158" s="230">
        <v>152215</v>
      </c>
      <c r="J158" s="273">
        <v>42.3</v>
      </c>
      <c r="K158" s="285">
        <v>89010</v>
      </c>
      <c r="L158" s="231">
        <v>37.1</v>
      </c>
      <c r="M158" s="230">
        <v>152215</v>
      </c>
      <c r="N158" s="231">
        <v>42.3</v>
      </c>
      <c r="O158" s="230">
        <v>275951</v>
      </c>
      <c r="P158" s="231">
        <v>76.7</v>
      </c>
      <c r="Q158" s="230">
        <v>183960</v>
      </c>
      <c r="R158" s="231">
        <v>76.7</v>
      </c>
      <c r="S158" s="230">
        <v>183960</v>
      </c>
      <c r="T158" s="231">
        <v>76.7</v>
      </c>
      <c r="U158" s="230">
        <v>111456</v>
      </c>
      <c r="V158" s="231">
        <v>34.799999999999997</v>
      </c>
      <c r="W158" s="230">
        <v>341223</v>
      </c>
      <c r="X158" s="231">
        <v>94.8</v>
      </c>
      <c r="Y158" s="230">
        <v>93960</v>
      </c>
      <c r="Z158" s="273">
        <v>39.1</v>
      </c>
    </row>
    <row r="159" spans="1:26" x14ac:dyDescent="0.2">
      <c r="A159" s="699"/>
      <c r="B159" s="272" t="s">
        <v>379</v>
      </c>
      <c r="C159" s="355"/>
      <c r="D159" s="375"/>
      <c r="E159" s="355"/>
      <c r="F159" s="376"/>
      <c r="G159" s="285">
        <v>1801</v>
      </c>
      <c r="H159" s="231">
        <v>6</v>
      </c>
      <c r="I159" s="230">
        <v>139560</v>
      </c>
      <c r="J159" s="273">
        <v>38.799999999999997</v>
      </c>
      <c r="K159" s="285">
        <v>35604</v>
      </c>
      <c r="L159" s="231">
        <v>14.8</v>
      </c>
      <c r="M159" s="230">
        <v>139560</v>
      </c>
      <c r="N159" s="231">
        <v>38.799999999999997</v>
      </c>
      <c r="O159" s="230">
        <v>183960</v>
      </c>
      <c r="P159" s="231">
        <v>51.1</v>
      </c>
      <c r="Q159" s="230">
        <v>61320</v>
      </c>
      <c r="R159" s="231">
        <v>25.6</v>
      </c>
      <c r="S159" s="230">
        <v>15330</v>
      </c>
      <c r="T159" s="231">
        <v>6.4</v>
      </c>
      <c r="U159" s="230">
        <v>9288</v>
      </c>
      <c r="V159" s="231">
        <v>2.9</v>
      </c>
      <c r="W159" s="230">
        <v>15163</v>
      </c>
      <c r="X159" s="231">
        <v>4.2</v>
      </c>
      <c r="Y159" s="230">
        <v>7830</v>
      </c>
      <c r="Z159" s="273">
        <v>3.3</v>
      </c>
    </row>
    <row r="160" spans="1:26" x14ac:dyDescent="0.2">
      <c r="A160" s="699"/>
      <c r="B160" s="272" t="s">
        <v>380</v>
      </c>
      <c r="C160" s="355"/>
      <c r="D160" s="375"/>
      <c r="E160" s="377"/>
      <c r="F160" s="376"/>
      <c r="G160" s="285">
        <v>0</v>
      </c>
      <c r="H160" s="231">
        <v>0</v>
      </c>
      <c r="I160" s="230">
        <v>0</v>
      </c>
      <c r="J160" s="273">
        <v>0</v>
      </c>
      <c r="K160" s="285">
        <v>0</v>
      </c>
      <c r="L160" s="231">
        <v>0</v>
      </c>
      <c r="M160" s="230">
        <v>0</v>
      </c>
      <c r="N160" s="231">
        <v>0</v>
      </c>
      <c r="O160" s="230">
        <v>0</v>
      </c>
      <c r="P160" s="231">
        <v>0</v>
      </c>
      <c r="Q160" s="230">
        <v>0</v>
      </c>
      <c r="R160" s="231">
        <v>0</v>
      </c>
      <c r="S160" s="230">
        <v>0</v>
      </c>
      <c r="T160" s="231">
        <v>0</v>
      </c>
      <c r="U160" s="230">
        <v>0</v>
      </c>
      <c r="V160" s="231">
        <v>0</v>
      </c>
      <c r="W160" s="230">
        <v>0</v>
      </c>
      <c r="X160" s="231">
        <v>0</v>
      </c>
      <c r="Y160" s="230">
        <v>0</v>
      </c>
      <c r="Z160" s="273">
        <v>0</v>
      </c>
    </row>
    <row r="161" spans="1:26" x14ac:dyDescent="0.2">
      <c r="A161" s="699"/>
      <c r="B161" s="272" t="s">
        <v>381</v>
      </c>
      <c r="C161" s="355"/>
      <c r="D161" s="375"/>
      <c r="E161" s="377"/>
      <c r="F161" s="376"/>
      <c r="G161" s="285">
        <v>0</v>
      </c>
      <c r="H161" s="231">
        <v>0</v>
      </c>
      <c r="I161" s="230">
        <v>69467</v>
      </c>
      <c r="J161" s="273">
        <v>19.3</v>
      </c>
      <c r="K161" s="285">
        <v>0</v>
      </c>
      <c r="L161" s="231">
        <v>0</v>
      </c>
      <c r="M161" s="230">
        <v>88694</v>
      </c>
      <c r="N161" s="231">
        <v>24.6</v>
      </c>
      <c r="O161" s="230">
        <v>176432</v>
      </c>
      <c r="P161" s="231">
        <v>49</v>
      </c>
      <c r="Q161" s="230">
        <v>0</v>
      </c>
      <c r="R161" s="231">
        <v>0</v>
      </c>
      <c r="S161" s="230">
        <v>79974</v>
      </c>
      <c r="T161" s="231">
        <v>33.299999999999997</v>
      </c>
      <c r="U161" s="230">
        <v>0</v>
      </c>
      <c r="V161" s="231">
        <v>0</v>
      </c>
      <c r="W161" s="230">
        <v>178180</v>
      </c>
      <c r="X161" s="231">
        <v>49.5</v>
      </c>
      <c r="Y161" s="230">
        <v>58459</v>
      </c>
      <c r="Z161" s="273">
        <v>24.4</v>
      </c>
    </row>
    <row r="162" spans="1:26" s="20" customFormat="1" x14ac:dyDescent="0.2">
      <c r="A162" s="699"/>
      <c r="B162" s="274" t="s">
        <v>382</v>
      </c>
      <c r="C162" s="357"/>
      <c r="D162" s="378"/>
      <c r="E162" s="357"/>
      <c r="F162" s="379"/>
      <c r="G162" s="286">
        <v>83093</v>
      </c>
      <c r="H162" s="276">
        <v>277</v>
      </c>
      <c r="I162" s="275">
        <v>955101</v>
      </c>
      <c r="J162" s="279">
        <v>265.3</v>
      </c>
      <c r="K162" s="286">
        <v>611133</v>
      </c>
      <c r="L162" s="276">
        <v>254.6</v>
      </c>
      <c r="M162" s="275">
        <v>1067221</v>
      </c>
      <c r="N162" s="276">
        <v>296.5</v>
      </c>
      <c r="O162" s="275">
        <v>1965513</v>
      </c>
      <c r="P162" s="276">
        <v>546</v>
      </c>
      <c r="Q162" s="275">
        <v>976216</v>
      </c>
      <c r="R162" s="276">
        <v>406.8</v>
      </c>
      <c r="S162" s="275">
        <v>979183</v>
      </c>
      <c r="T162" s="276">
        <v>408</v>
      </c>
      <c r="U162" s="275">
        <v>1195224</v>
      </c>
      <c r="V162" s="276">
        <v>373.5</v>
      </c>
      <c r="W162" s="275">
        <v>1516973</v>
      </c>
      <c r="X162" s="276">
        <v>421.4</v>
      </c>
      <c r="Y162" s="275">
        <v>721061</v>
      </c>
      <c r="Z162" s="279">
        <v>300.39999999999998</v>
      </c>
    </row>
    <row r="163" spans="1:26" s="216" customFormat="1" x14ac:dyDescent="0.2">
      <c r="A163" s="699"/>
      <c r="B163" s="283" t="s">
        <v>491</v>
      </c>
      <c r="C163" s="353"/>
      <c r="D163" s="354"/>
      <c r="E163" s="353"/>
      <c r="F163" s="354"/>
      <c r="G163" s="289" t="s">
        <v>372</v>
      </c>
      <c r="H163" s="291" t="s">
        <v>397</v>
      </c>
      <c r="I163" s="289" t="s">
        <v>372</v>
      </c>
      <c r="J163" s="291" t="s">
        <v>397</v>
      </c>
      <c r="K163" s="289" t="s">
        <v>372</v>
      </c>
      <c r="L163" s="291" t="s">
        <v>397</v>
      </c>
      <c r="M163" s="289" t="s">
        <v>372</v>
      </c>
      <c r="N163" s="291" t="s">
        <v>397</v>
      </c>
      <c r="O163" s="289" t="s">
        <v>372</v>
      </c>
      <c r="P163" s="291" t="s">
        <v>397</v>
      </c>
      <c r="Q163" s="289" t="s">
        <v>372</v>
      </c>
      <c r="R163" s="291" t="s">
        <v>397</v>
      </c>
      <c r="S163" s="289" t="s">
        <v>372</v>
      </c>
      <c r="T163" s="291" t="s">
        <v>397</v>
      </c>
      <c r="U163" s="289" t="s">
        <v>372</v>
      </c>
      <c r="V163" s="291" t="s">
        <v>397</v>
      </c>
      <c r="W163" s="289" t="s">
        <v>372</v>
      </c>
      <c r="X163" s="291" t="s">
        <v>397</v>
      </c>
      <c r="Y163" s="289" t="s">
        <v>372</v>
      </c>
      <c r="Z163" s="291" t="s">
        <v>397</v>
      </c>
    </row>
    <row r="164" spans="1:26" x14ac:dyDescent="0.2">
      <c r="A164" s="699"/>
      <c r="B164" s="272" t="s">
        <v>373</v>
      </c>
      <c r="C164" s="355"/>
      <c r="D164" s="356"/>
      <c r="E164" s="355"/>
      <c r="F164" s="356"/>
      <c r="G164" s="230">
        <f t="shared" ref="G164:Z164" si="51">G$6-G153</f>
        <v>-21</v>
      </c>
      <c r="H164" s="293">
        <f t="shared" si="51"/>
        <v>-9.9999999999994316E-2</v>
      </c>
      <c r="I164" s="230">
        <f t="shared" si="51"/>
        <v>-7</v>
      </c>
      <c r="J164" s="293">
        <f t="shared" si="51"/>
        <v>0</v>
      </c>
      <c r="K164" s="230">
        <f t="shared" si="51"/>
        <v>-329</v>
      </c>
      <c r="L164" s="293">
        <f t="shared" si="51"/>
        <v>-0.10000000000000853</v>
      </c>
      <c r="M164" s="230">
        <f t="shared" si="51"/>
        <v>-46</v>
      </c>
      <c r="N164" s="293">
        <f t="shared" si="51"/>
        <v>0</v>
      </c>
      <c r="O164" s="230">
        <f t="shared" si="51"/>
        <v>-157</v>
      </c>
      <c r="P164" s="293">
        <f t="shared" si="51"/>
        <v>0</v>
      </c>
      <c r="Q164" s="230">
        <f t="shared" si="51"/>
        <v>-237</v>
      </c>
      <c r="R164" s="293">
        <f t="shared" si="51"/>
        <v>-9.9999999999994316E-2</v>
      </c>
      <c r="S164" s="230">
        <f t="shared" si="51"/>
        <v>-25</v>
      </c>
      <c r="T164" s="293">
        <f t="shared" si="51"/>
        <v>0</v>
      </c>
      <c r="U164" s="230">
        <f t="shared" si="51"/>
        <v>-200</v>
      </c>
      <c r="V164" s="293">
        <f t="shared" si="51"/>
        <v>-9.9999999999994316E-2</v>
      </c>
      <c r="W164" s="230">
        <f t="shared" si="51"/>
        <v>-457</v>
      </c>
      <c r="X164" s="293">
        <f t="shared" si="51"/>
        <v>-9.9999999999994316E-2</v>
      </c>
      <c r="Y164" s="230">
        <f t="shared" si="51"/>
        <v>-64</v>
      </c>
      <c r="Z164" s="293">
        <f t="shared" si="51"/>
        <v>0</v>
      </c>
    </row>
    <row r="165" spans="1:26" x14ac:dyDescent="0.2">
      <c r="A165" s="699"/>
      <c r="B165" s="272" t="s">
        <v>374</v>
      </c>
      <c r="C165" s="355"/>
      <c r="D165" s="356"/>
      <c r="E165" s="355"/>
      <c r="F165" s="356"/>
      <c r="G165" s="230">
        <f t="shared" ref="G165:Z165" si="52">G$7-G154</f>
        <v>-822</v>
      </c>
      <c r="H165" s="293">
        <f t="shared" si="52"/>
        <v>-2.6999999999999993</v>
      </c>
      <c r="I165" s="230">
        <f t="shared" si="52"/>
        <v>-9245</v>
      </c>
      <c r="J165" s="293">
        <f t="shared" si="52"/>
        <v>-2.5</v>
      </c>
      <c r="K165" s="230">
        <f t="shared" si="52"/>
        <v>-8210</v>
      </c>
      <c r="L165" s="293">
        <f t="shared" si="52"/>
        <v>-3.5</v>
      </c>
      <c r="M165" s="230">
        <f t="shared" si="52"/>
        <v>-12106</v>
      </c>
      <c r="N165" s="293">
        <f t="shared" si="52"/>
        <v>-3.3999999999999986</v>
      </c>
      <c r="O165" s="230">
        <f t="shared" si="52"/>
        <v>-28480</v>
      </c>
      <c r="P165" s="293">
        <f t="shared" si="52"/>
        <v>-7.8999999999999915</v>
      </c>
      <c r="Q165" s="230">
        <f t="shared" si="52"/>
        <v>-17956</v>
      </c>
      <c r="R165" s="293">
        <f t="shared" si="52"/>
        <v>-7.5</v>
      </c>
      <c r="S165" s="230">
        <f t="shared" si="52"/>
        <v>-11423</v>
      </c>
      <c r="T165" s="293">
        <f t="shared" si="52"/>
        <v>-4.7999999999999972</v>
      </c>
      <c r="U165" s="230">
        <f t="shared" si="52"/>
        <v>-11023</v>
      </c>
      <c r="V165" s="293">
        <f t="shared" si="52"/>
        <v>-3.5</v>
      </c>
      <c r="W165" s="230">
        <f t="shared" si="52"/>
        <v>-21707</v>
      </c>
      <c r="X165" s="293">
        <f t="shared" si="52"/>
        <v>-6</v>
      </c>
      <c r="Y165" s="230">
        <f t="shared" si="52"/>
        <v>-6797</v>
      </c>
      <c r="Z165" s="293">
        <f t="shared" si="52"/>
        <v>-2.8000000000000007</v>
      </c>
    </row>
    <row r="166" spans="1:26" x14ac:dyDescent="0.2">
      <c r="A166" s="699"/>
      <c r="B166" s="272" t="s">
        <v>375</v>
      </c>
      <c r="C166" s="355"/>
      <c r="D166" s="356"/>
      <c r="E166" s="355"/>
      <c r="F166" s="356"/>
      <c r="G166" s="230">
        <f t="shared" ref="G166:Z166" si="53">G$8-G155</f>
        <v>0</v>
      </c>
      <c r="H166" s="293">
        <f t="shared" si="53"/>
        <v>0</v>
      </c>
      <c r="I166" s="230">
        <f t="shared" si="53"/>
        <v>0</v>
      </c>
      <c r="J166" s="293">
        <f t="shared" si="53"/>
        <v>0</v>
      </c>
      <c r="K166" s="230">
        <f t="shared" si="53"/>
        <v>0</v>
      </c>
      <c r="L166" s="293">
        <f t="shared" si="53"/>
        <v>0</v>
      </c>
      <c r="M166" s="230">
        <f t="shared" si="53"/>
        <v>0</v>
      </c>
      <c r="N166" s="293">
        <f t="shared" si="53"/>
        <v>0</v>
      </c>
      <c r="O166" s="230">
        <f t="shared" si="53"/>
        <v>0</v>
      </c>
      <c r="P166" s="293">
        <f t="shared" si="53"/>
        <v>0</v>
      </c>
      <c r="Q166" s="230">
        <f t="shared" si="53"/>
        <v>0</v>
      </c>
      <c r="R166" s="293">
        <f t="shared" si="53"/>
        <v>0</v>
      </c>
      <c r="S166" s="230">
        <f t="shared" si="53"/>
        <v>0</v>
      </c>
      <c r="T166" s="293">
        <f t="shared" si="53"/>
        <v>0</v>
      </c>
      <c r="U166" s="230">
        <f t="shared" si="53"/>
        <v>0</v>
      </c>
      <c r="V166" s="293">
        <f t="shared" si="53"/>
        <v>0</v>
      </c>
      <c r="W166" s="230">
        <f t="shared" si="53"/>
        <v>0</v>
      </c>
      <c r="X166" s="293">
        <f t="shared" si="53"/>
        <v>0</v>
      </c>
      <c r="Y166" s="230">
        <f t="shared" si="53"/>
        <v>0</v>
      </c>
      <c r="Z166" s="293">
        <f t="shared" si="53"/>
        <v>0</v>
      </c>
    </row>
    <row r="167" spans="1:26" x14ac:dyDescent="0.2">
      <c r="A167" s="699"/>
      <c r="B167" s="272" t="s">
        <v>376</v>
      </c>
      <c r="C167" s="355"/>
      <c r="D167" s="356"/>
      <c r="E167" s="355"/>
      <c r="F167" s="356"/>
      <c r="G167" s="230">
        <f t="shared" ref="G167:Z167" si="54">G$9-G156</f>
        <v>3001</v>
      </c>
      <c r="H167" s="293">
        <f t="shared" si="54"/>
        <v>10</v>
      </c>
      <c r="I167" s="230">
        <f t="shared" si="54"/>
        <v>35273</v>
      </c>
      <c r="J167" s="293">
        <f t="shared" si="54"/>
        <v>9.7999999999999972</v>
      </c>
      <c r="K167" s="230">
        <f t="shared" si="54"/>
        <v>26372</v>
      </c>
      <c r="L167" s="293">
        <f t="shared" si="54"/>
        <v>11</v>
      </c>
      <c r="M167" s="230">
        <f t="shared" si="54"/>
        <v>45807</v>
      </c>
      <c r="N167" s="293">
        <f t="shared" si="54"/>
        <v>12.7</v>
      </c>
      <c r="O167" s="230">
        <f t="shared" si="54"/>
        <v>105612</v>
      </c>
      <c r="P167" s="293">
        <f t="shared" si="54"/>
        <v>29.299999999999997</v>
      </c>
      <c r="Q167" s="230">
        <f t="shared" si="54"/>
        <v>61715</v>
      </c>
      <c r="R167" s="293">
        <f t="shared" si="54"/>
        <v>25.699999999999989</v>
      </c>
      <c r="S167" s="230">
        <f t="shared" si="54"/>
        <v>42557</v>
      </c>
      <c r="T167" s="293">
        <f t="shared" si="54"/>
        <v>17.700000000000003</v>
      </c>
      <c r="U167" s="230">
        <f t="shared" si="54"/>
        <v>30967</v>
      </c>
      <c r="V167" s="293">
        <f t="shared" si="54"/>
        <v>9.6999999999999993</v>
      </c>
      <c r="W167" s="230">
        <f t="shared" si="54"/>
        <v>84338</v>
      </c>
      <c r="X167" s="293">
        <f t="shared" si="54"/>
        <v>23.400000000000006</v>
      </c>
      <c r="Y167" s="230">
        <f t="shared" si="54"/>
        <v>26100</v>
      </c>
      <c r="Z167" s="293">
        <f t="shared" si="54"/>
        <v>10.900000000000002</v>
      </c>
    </row>
    <row r="168" spans="1:26" x14ac:dyDescent="0.2">
      <c r="A168" s="699"/>
      <c r="B168" s="272" t="s">
        <v>377</v>
      </c>
      <c r="C168" s="355"/>
      <c r="D168" s="356"/>
      <c r="E168" s="355"/>
      <c r="F168" s="356"/>
      <c r="G168" s="230">
        <f t="shared" ref="G168:Z168" si="55">G$10-G157</f>
        <v>-8</v>
      </c>
      <c r="H168" s="293">
        <f t="shared" si="55"/>
        <v>0</v>
      </c>
      <c r="I168" s="230">
        <f t="shared" si="55"/>
        <v>-65</v>
      </c>
      <c r="J168" s="293">
        <f t="shared" si="55"/>
        <v>0</v>
      </c>
      <c r="K168" s="230">
        <f t="shared" si="55"/>
        <v>-84</v>
      </c>
      <c r="L168" s="293">
        <f t="shared" si="55"/>
        <v>-9.9999999999999867E-2</v>
      </c>
      <c r="M168" s="230">
        <f t="shared" si="55"/>
        <v>-85</v>
      </c>
      <c r="N168" s="293">
        <f t="shared" si="55"/>
        <v>0</v>
      </c>
      <c r="O168" s="230">
        <f t="shared" si="55"/>
        <v>-105</v>
      </c>
      <c r="P168" s="293">
        <f t="shared" si="55"/>
        <v>0</v>
      </c>
      <c r="Q168" s="230">
        <f t="shared" si="55"/>
        <v>-82</v>
      </c>
      <c r="R168" s="293">
        <f t="shared" si="55"/>
        <v>-0.10000000000000009</v>
      </c>
      <c r="S168" s="230">
        <f t="shared" si="55"/>
        <v>83</v>
      </c>
      <c r="T168" s="293">
        <f t="shared" si="55"/>
        <v>0</v>
      </c>
      <c r="U168" s="230">
        <f t="shared" si="55"/>
        <v>-78</v>
      </c>
      <c r="V168" s="293">
        <f t="shared" si="55"/>
        <v>0</v>
      </c>
      <c r="W168" s="230">
        <f t="shared" si="55"/>
        <v>-158</v>
      </c>
      <c r="X168" s="293">
        <f t="shared" si="55"/>
        <v>0</v>
      </c>
      <c r="Y168" s="230">
        <f t="shared" si="55"/>
        <v>-26</v>
      </c>
      <c r="Z168" s="293">
        <f t="shared" si="55"/>
        <v>0</v>
      </c>
    </row>
    <row r="169" spans="1:26" x14ac:dyDescent="0.2">
      <c r="A169" s="699"/>
      <c r="B169" s="272" t="s">
        <v>378</v>
      </c>
      <c r="C169" s="355"/>
      <c r="D169" s="356"/>
      <c r="E169" s="355"/>
      <c r="F169" s="356"/>
      <c r="G169" s="230">
        <f t="shared" ref="G169:Z169" si="56">G$11-G158</f>
        <v>0</v>
      </c>
      <c r="H169" s="293">
        <f t="shared" si="56"/>
        <v>0</v>
      </c>
      <c r="I169" s="230">
        <f t="shared" si="56"/>
        <v>0</v>
      </c>
      <c r="J169" s="293">
        <f t="shared" si="56"/>
        <v>0</v>
      </c>
      <c r="K169" s="230">
        <f t="shared" si="56"/>
        <v>0</v>
      </c>
      <c r="L169" s="293">
        <f t="shared" si="56"/>
        <v>0</v>
      </c>
      <c r="M169" s="230">
        <f t="shared" si="56"/>
        <v>0</v>
      </c>
      <c r="N169" s="293">
        <f t="shared" si="56"/>
        <v>0</v>
      </c>
      <c r="O169" s="230">
        <f t="shared" si="56"/>
        <v>0</v>
      </c>
      <c r="P169" s="293">
        <f t="shared" si="56"/>
        <v>0</v>
      </c>
      <c r="Q169" s="230">
        <f t="shared" si="56"/>
        <v>0</v>
      </c>
      <c r="R169" s="293">
        <f t="shared" si="56"/>
        <v>0</v>
      </c>
      <c r="S169" s="230">
        <f t="shared" si="56"/>
        <v>0</v>
      </c>
      <c r="T169" s="293">
        <f t="shared" si="56"/>
        <v>0</v>
      </c>
      <c r="U169" s="230">
        <f t="shared" si="56"/>
        <v>0</v>
      </c>
      <c r="V169" s="293">
        <f t="shared" si="56"/>
        <v>0</v>
      </c>
      <c r="W169" s="230">
        <f t="shared" si="56"/>
        <v>0</v>
      </c>
      <c r="X169" s="293">
        <f t="shared" si="56"/>
        <v>0</v>
      </c>
      <c r="Y169" s="230">
        <f t="shared" si="56"/>
        <v>0</v>
      </c>
      <c r="Z169" s="293">
        <f t="shared" si="56"/>
        <v>0</v>
      </c>
    </row>
    <row r="170" spans="1:26" x14ac:dyDescent="0.2">
      <c r="A170" s="699"/>
      <c r="B170" s="272" t="s">
        <v>379</v>
      </c>
      <c r="C170" s="355"/>
      <c r="D170" s="356"/>
      <c r="E170" s="355"/>
      <c r="F170" s="356"/>
      <c r="G170" s="230">
        <f t="shared" ref="G170:Z170" si="57">G$12-G159</f>
        <v>0</v>
      </c>
      <c r="H170" s="293">
        <f t="shared" si="57"/>
        <v>0</v>
      </c>
      <c r="I170" s="230">
        <f t="shared" si="57"/>
        <v>0</v>
      </c>
      <c r="J170" s="293">
        <f t="shared" si="57"/>
        <v>0</v>
      </c>
      <c r="K170" s="230">
        <f t="shared" si="57"/>
        <v>0</v>
      </c>
      <c r="L170" s="293">
        <f t="shared" si="57"/>
        <v>0</v>
      </c>
      <c r="M170" s="230">
        <f t="shared" si="57"/>
        <v>0</v>
      </c>
      <c r="N170" s="293">
        <f t="shared" si="57"/>
        <v>0</v>
      </c>
      <c r="O170" s="230">
        <f t="shared" si="57"/>
        <v>0</v>
      </c>
      <c r="P170" s="293">
        <f t="shared" si="57"/>
        <v>0</v>
      </c>
      <c r="Q170" s="230">
        <f t="shared" si="57"/>
        <v>0</v>
      </c>
      <c r="R170" s="293">
        <f t="shared" si="57"/>
        <v>0</v>
      </c>
      <c r="S170" s="230">
        <f t="shared" si="57"/>
        <v>0</v>
      </c>
      <c r="T170" s="293">
        <f t="shared" si="57"/>
        <v>0</v>
      </c>
      <c r="U170" s="230">
        <f t="shared" si="57"/>
        <v>0</v>
      </c>
      <c r="V170" s="293">
        <f t="shared" si="57"/>
        <v>0</v>
      </c>
      <c r="W170" s="230">
        <f t="shared" si="57"/>
        <v>0</v>
      </c>
      <c r="X170" s="293">
        <f t="shared" si="57"/>
        <v>0</v>
      </c>
      <c r="Y170" s="230">
        <f t="shared" si="57"/>
        <v>0</v>
      </c>
      <c r="Z170" s="293">
        <f t="shared" si="57"/>
        <v>0</v>
      </c>
    </row>
    <row r="171" spans="1:26" x14ac:dyDescent="0.2">
      <c r="A171" s="699"/>
      <c r="B171" s="272" t="s">
        <v>380</v>
      </c>
      <c r="C171" s="355"/>
      <c r="D171" s="356"/>
      <c r="E171" s="355"/>
      <c r="F171" s="356"/>
      <c r="G171" s="230">
        <f t="shared" ref="G171:Z171" si="58">G$13-G160</f>
        <v>0</v>
      </c>
      <c r="H171" s="293">
        <f t="shared" si="58"/>
        <v>0</v>
      </c>
      <c r="I171" s="230">
        <f t="shared" si="58"/>
        <v>0</v>
      </c>
      <c r="J171" s="293">
        <f t="shared" si="58"/>
        <v>0</v>
      </c>
      <c r="K171" s="230">
        <f t="shared" si="58"/>
        <v>0</v>
      </c>
      <c r="L171" s="293">
        <f t="shared" si="58"/>
        <v>0</v>
      </c>
      <c r="M171" s="230">
        <f t="shared" si="58"/>
        <v>0</v>
      </c>
      <c r="N171" s="293">
        <f t="shared" si="58"/>
        <v>0</v>
      </c>
      <c r="O171" s="230">
        <f t="shared" si="58"/>
        <v>0</v>
      </c>
      <c r="P171" s="293">
        <f t="shared" si="58"/>
        <v>0</v>
      </c>
      <c r="Q171" s="230">
        <f t="shared" si="58"/>
        <v>0</v>
      </c>
      <c r="R171" s="293">
        <f t="shared" si="58"/>
        <v>0</v>
      </c>
      <c r="S171" s="230">
        <f t="shared" si="58"/>
        <v>0</v>
      </c>
      <c r="T171" s="293">
        <f t="shared" si="58"/>
        <v>0</v>
      </c>
      <c r="U171" s="230">
        <f t="shared" si="58"/>
        <v>0</v>
      </c>
      <c r="V171" s="293">
        <f t="shared" si="58"/>
        <v>0</v>
      </c>
      <c r="W171" s="230">
        <f t="shared" si="58"/>
        <v>0</v>
      </c>
      <c r="X171" s="293">
        <f t="shared" si="58"/>
        <v>0</v>
      </c>
      <c r="Y171" s="230">
        <f t="shared" si="58"/>
        <v>0</v>
      </c>
      <c r="Z171" s="293">
        <f t="shared" si="58"/>
        <v>0</v>
      </c>
    </row>
    <row r="172" spans="1:26" x14ac:dyDescent="0.2">
      <c r="A172" s="699"/>
      <c r="B172" s="272" t="s">
        <v>381</v>
      </c>
      <c r="C172" s="355"/>
      <c r="D172" s="356"/>
      <c r="E172" s="355"/>
      <c r="F172" s="356"/>
      <c r="G172" s="230">
        <f t="shared" ref="G172:Z172" si="59">G$14-G161</f>
        <v>0</v>
      </c>
      <c r="H172" s="293">
        <f t="shared" si="59"/>
        <v>0</v>
      </c>
      <c r="I172" s="230">
        <f t="shared" si="59"/>
        <v>4499</v>
      </c>
      <c r="J172" s="293">
        <f t="shared" si="59"/>
        <v>1.1999999999999993</v>
      </c>
      <c r="K172" s="230">
        <f t="shared" si="59"/>
        <v>0</v>
      </c>
      <c r="L172" s="293">
        <f t="shared" si="59"/>
        <v>0</v>
      </c>
      <c r="M172" s="230">
        <f t="shared" si="59"/>
        <v>5653</v>
      </c>
      <c r="N172" s="293">
        <f t="shared" si="59"/>
        <v>1.5999999999999979</v>
      </c>
      <c r="O172" s="230">
        <f t="shared" si="59"/>
        <v>12308</v>
      </c>
      <c r="P172" s="293">
        <f t="shared" si="59"/>
        <v>3.3999999999999986</v>
      </c>
      <c r="Q172" s="230">
        <f t="shared" si="59"/>
        <v>0</v>
      </c>
      <c r="R172" s="293">
        <f t="shared" si="59"/>
        <v>0</v>
      </c>
      <c r="S172" s="230">
        <f t="shared" si="59"/>
        <v>5719</v>
      </c>
      <c r="T172" s="293">
        <f t="shared" si="59"/>
        <v>2.4000000000000057</v>
      </c>
      <c r="U172" s="230">
        <f t="shared" si="59"/>
        <v>0</v>
      </c>
      <c r="V172" s="293">
        <f t="shared" si="59"/>
        <v>0</v>
      </c>
      <c r="W172" s="230">
        <f t="shared" si="59"/>
        <v>10866</v>
      </c>
      <c r="X172" s="293">
        <f t="shared" si="59"/>
        <v>3</v>
      </c>
      <c r="Y172" s="230">
        <f t="shared" si="59"/>
        <v>3534</v>
      </c>
      <c r="Z172" s="293">
        <f t="shared" si="59"/>
        <v>1.4000000000000021</v>
      </c>
    </row>
    <row r="173" spans="1:26" s="20" customFormat="1" x14ac:dyDescent="0.2">
      <c r="A173" s="700"/>
      <c r="B173" s="274" t="s">
        <v>382</v>
      </c>
      <c r="C173" s="357"/>
      <c r="D173" s="358"/>
      <c r="E173" s="357"/>
      <c r="F173" s="358"/>
      <c r="G173" s="275">
        <f t="shared" ref="G173:Z173" si="60">G$15-G162</f>
        <v>2150</v>
      </c>
      <c r="H173" s="294">
        <f t="shared" si="60"/>
        <v>7.1000000000000227</v>
      </c>
      <c r="I173" s="275">
        <f t="shared" si="60"/>
        <v>30455</v>
      </c>
      <c r="J173" s="294">
        <f t="shared" si="60"/>
        <v>8.5</v>
      </c>
      <c r="K173" s="275">
        <f t="shared" si="60"/>
        <v>17750</v>
      </c>
      <c r="L173" s="294">
        <f t="shared" si="60"/>
        <v>7.4000000000000057</v>
      </c>
      <c r="M173" s="275">
        <f t="shared" si="60"/>
        <v>39222</v>
      </c>
      <c r="N173" s="294">
        <f t="shared" si="60"/>
        <v>10.800000000000011</v>
      </c>
      <c r="O173" s="275">
        <f t="shared" si="60"/>
        <v>89178</v>
      </c>
      <c r="P173" s="294">
        <f t="shared" si="60"/>
        <v>24.700000000000045</v>
      </c>
      <c r="Q173" s="275">
        <f t="shared" si="60"/>
        <v>43440</v>
      </c>
      <c r="R173" s="294">
        <f t="shared" si="60"/>
        <v>18.099999999999966</v>
      </c>
      <c r="S173" s="275">
        <f t="shared" si="60"/>
        <v>36912</v>
      </c>
      <c r="T173" s="294">
        <f t="shared" si="60"/>
        <v>15.399999999999977</v>
      </c>
      <c r="U173" s="275">
        <f t="shared" si="60"/>
        <v>19667</v>
      </c>
      <c r="V173" s="294">
        <f t="shared" si="60"/>
        <v>6.1999999999999886</v>
      </c>
      <c r="W173" s="275">
        <f t="shared" si="60"/>
        <v>72882</v>
      </c>
      <c r="X173" s="294">
        <f t="shared" si="60"/>
        <v>20.200000000000045</v>
      </c>
      <c r="Y173" s="275">
        <f t="shared" si="60"/>
        <v>22747</v>
      </c>
      <c r="Z173" s="294">
        <f t="shared" si="60"/>
        <v>9.5</v>
      </c>
    </row>
    <row r="174" spans="1:26" s="20" customFormat="1" x14ac:dyDescent="0.2">
      <c r="A174" s="266"/>
      <c r="B174" s="227"/>
      <c r="C174" s="267"/>
      <c r="D174" s="232"/>
      <c r="E174" s="268"/>
      <c r="F174" s="237"/>
      <c r="G174" s="267"/>
      <c r="H174" s="232"/>
      <c r="I174" s="267"/>
      <c r="J174" s="232"/>
      <c r="K174" s="267"/>
      <c r="L174" s="232"/>
      <c r="M174" s="267"/>
      <c r="N174" s="232"/>
      <c r="O174" s="267"/>
      <c r="P174" s="232"/>
      <c r="Q174" s="267"/>
      <c r="R174" s="232"/>
      <c r="S174" s="267"/>
      <c r="T174" s="232"/>
      <c r="U174" s="267"/>
      <c r="V174" s="232"/>
      <c r="W174" s="267"/>
      <c r="X174" s="232"/>
      <c r="Y174" s="267"/>
      <c r="Z174" s="232"/>
    </row>
    <row r="175" spans="1:26" s="202" customFormat="1" ht="13.15" customHeight="1" x14ac:dyDescent="0.2">
      <c r="A175" s="698" t="s">
        <v>554</v>
      </c>
      <c r="B175" s="359" t="s">
        <v>488</v>
      </c>
      <c r="C175" s="368"/>
      <c r="D175" s="369"/>
      <c r="E175" s="368"/>
      <c r="F175" s="369"/>
      <c r="G175" s="304" t="s">
        <v>486</v>
      </c>
      <c r="H175" s="280" t="s">
        <v>487</v>
      </c>
      <c r="I175" s="304" t="s">
        <v>486</v>
      </c>
      <c r="J175" s="280" t="s">
        <v>487</v>
      </c>
      <c r="K175" s="304" t="s">
        <v>486</v>
      </c>
      <c r="L175" s="280" t="s">
        <v>487</v>
      </c>
      <c r="M175" s="304" t="s">
        <v>486</v>
      </c>
      <c r="N175" s="280" t="s">
        <v>487</v>
      </c>
      <c r="O175" s="304" t="s">
        <v>486</v>
      </c>
      <c r="P175" s="280" t="s">
        <v>487</v>
      </c>
      <c r="Q175" s="304" t="s">
        <v>486</v>
      </c>
      <c r="R175" s="280" t="s">
        <v>487</v>
      </c>
      <c r="S175" s="304" t="s">
        <v>486</v>
      </c>
      <c r="T175" s="280" t="s">
        <v>487</v>
      </c>
      <c r="U175" s="304" t="s">
        <v>486</v>
      </c>
      <c r="V175" s="280" t="s">
        <v>487</v>
      </c>
      <c r="W175" s="304" t="s">
        <v>486</v>
      </c>
      <c r="X175" s="280" t="s">
        <v>487</v>
      </c>
      <c r="Y175" s="304" t="s">
        <v>486</v>
      </c>
      <c r="Z175" s="314" t="s">
        <v>487</v>
      </c>
    </row>
    <row r="176" spans="1:26" x14ac:dyDescent="0.2">
      <c r="A176" s="699"/>
      <c r="B176" s="144" t="s">
        <v>278</v>
      </c>
      <c r="C176" s="370"/>
      <c r="D176" s="371"/>
      <c r="E176" s="370"/>
      <c r="F176" s="371"/>
      <c r="G176" s="349" t="str">
        <f>'6 Oversikt startpunkt'!D49</f>
        <v>12</v>
      </c>
      <c r="H176" s="350">
        <v>6</v>
      </c>
      <c r="I176" s="349" t="str">
        <f>'6 Oversikt startpunkt'!E49</f>
        <v>10</v>
      </c>
      <c r="J176" s="350">
        <v>6</v>
      </c>
      <c r="K176" s="349" t="str">
        <f>'6 Oversikt startpunkt'!F49</f>
        <v>16</v>
      </c>
      <c r="L176" s="351">
        <v>8</v>
      </c>
      <c r="M176" s="350" t="str">
        <f>'6 Oversikt startpunkt'!G49</f>
        <v>13</v>
      </c>
      <c r="N176" s="350">
        <v>7</v>
      </c>
      <c r="O176" s="349" t="str">
        <f>'6 Oversikt startpunkt'!H49</f>
        <v>16/3</v>
      </c>
      <c r="P176" s="351" t="str">
        <f>'7 Passivhusnivå'!J33</f>
        <v>9 / 3</v>
      </c>
      <c r="Q176" s="350" t="str">
        <f>'6 Oversikt startpunkt'!I49</f>
        <v>14/3</v>
      </c>
      <c r="R176" s="350" t="str">
        <f>'7 Passivhusnivå'!K33</f>
        <v>7 / 3</v>
      </c>
      <c r="S176" s="349" t="str">
        <f>'6 Oversikt startpunkt'!J49</f>
        <v>10</v>
      </c>
      <c r="T176" s="351">
        <v>5</v>
      </c>
      <c r="U176" s="350" t="str">
        <f>'6 Oversikt startpunkt'!K49</f>
        <v>12</v>
      </c>
      <c r="V176" s="350">
        <v>6</v>
      </c>
      <c r="W176" s="349" t="str">
        <f>'6 Oversikt startpunkt'!L49</f>
        <v>20</v>
      </c>
      <c r="X176" s="351">
        <v>11</v>
      </c>
      <c r="Y176" s="349" t="str">
        <f>'6 Oversikt startpunkt'!M49</f>
        <v>12</v>
      </c>
      <c r="Z176" s="351">
        <v>6</v>
      </c>
    </row>
    <row r="177" spans="1:26" x14ac:dyDescent="0.2">
      <c r="A177" s="699"/>
      <c r="B177" s="78" t="s">
        <v>14</v>
      </c>
      <c r="C177" s="372"/>
      <c r="D177" s="373"/>
      <c r="E177" s="372"/>
      <c r="F177" s="373"/>
      <c r="G177" s="305">
        <f>'6 Oversikt startpunkt'!D50</f>
        <v>0.6</v>
      </c>
      <c r="H177" s="270">
        <v>0.85</v>
      </c>
      <c r="I177" s="305">
        <f>'6 Oversikt startpunkt'!E50</f>
        <v>0.6</v>
      </c>
      <c r="J177" s="270">
        <v>0.85</v>
      </c>
      <c r="K177" s="243">
        <f>'6 Oversikt startpunkt'!F50</f>
        <v>0.6</v>
      </c>
      <c r="L177" s="270">
        <v>0.85</v>
      </c>
      <c r="M177" s="271">
        <f>'6 Oversikt startpunkt'!G50</f>
        <v>0.6</v>
      </c>
      <c r="N177" s="270">
        <v>0.85</v>
      </c>
      <c r="O177" s="243">
        <f>'6 Oversikt startpunkt'!H50</f>
        <v>0.6</v>
      </c>
      <c r="P177" s="270">
        <v>0.85</v>
      </c>
      <c r="Q177" s="271">
        <f>'6 Oversikt startpunkt'!I50</f>
        <v>0.6</v>
      </c>
      <c r="R177" s="270">
        <v>0.85</v>
      </c>
      <c r="S177" s="243">
        <f>'6 Oversikt startpunkt'!J50</f>
        <v>0.6</v>
      </c>
      <c r="T177" s="270">
        <v>0.85</v>
      </c>
      <c r="U177" s="271">
        <f>'6 Oversikt startpunkt'!K50</f>
        <v>0.6</v>
      </c>
      <c r="V177" s="270">
        <v>0.85</v>
      </c>
      <c r="W177" s="243">
        <f>'6 Oversikt startpunkt'!L50</f>
        <v>0.6</v>
      </c>
      <c r="X177" s="270">
        <v>0.85</v>
      </c>
      <c r="Y177" s="243">
        <f>'6 Oversikt startpunkt'!M50</f>
        <v>0.6</v>
      </c>
      <c r="Z177" s="312">
        <v>0.85</v>
      </c>
    </row>
    <row r="178" spans="1:26" x14ac:dyDescent="0.2">
      <c r="A178" s="699"/>
      <c r="B178" s="78" t="s">
        <v>510</v>
      </c>
      <c r="C178" s="372"/>
      <c r="D178" s="373"/>
      <c r="E178" s="372"/>
      <c r="F178" s="373"/>
      <c r="G178" s="305">
        <f>'6 Oversikt startpunkt'!D51</f>
        <v>-2</v>
      </c>
      <c r="H178" s="270" t="str">
        <f>'7 Passivhusnivå'!F35</f>
        <v>Ingen</v>
      </c>
      <c r="I178" s="305">
        <f>'6 Oversikt startpunkt'!E51</f>
        <v>-2</v>
      </c>
      <c r="J178" s="270" t="str">
        <f>'7 Passivhusnivå'!G35</f>
        <v>Ingen</v>
      </c>
      <c r="K178" s="243">
        <f>'6 Oversikt startpunkt'!F51</f>
        <v>-2</v>
      </c>
      <c r="L178" s="312" t="str">
        <f>'7 Passivhusnivå'!H35</f>
        <v>Ingen</v>
      </c>
      <c r="M178" s="271">
        <f>'6 Oversikt startpunkt'!G51</f>
        <v>-2</v>
      </c>
      <c r="N178" s="270" t="str">
        <f>'7 Passivhusnivå'!I35</f>
        <v>Ingen</v>
      </c>
      <c r="O178" s="243">
        <f>'6 Oversikt startpunkt'!H51</f>
        <v>-2</v>
      </c>
      <c r="P178" s="312" t="str">
        <f>'7 Passivhusnivå'!J35</f>
        <v>Ingen</v>
      </c>
      <c r="Q178" s="271">
        <f>'6 Oversikt startpunkt'!I51</f>
        <v>-2</v>
      </c>
      <c r="R178" s="270" t="str">
        <f>'7 Passivhusnivå'!K35</f>
        <v>Ingen</v>
      </c>
      <c r="S178" s="243">
        <f>'6 Oversikt startpunkt'!J51</f>
        <v>-2</v>
      </c>
      <c r="T178" s="312" t="str">
        <f>'7 Passivhusnivå'!L35</f>
        <v>Ingen</v>
      </c>
      <c r="U178" s="271">
        <f>'6 Oversikt startpunkt'!K51</f>
        <v>-2</v>
      </c>
      <c r="V178" s="270" t="str">
        <f>'7 Passivhusnivå'!M35</f>
        <v>Ingen</v>
      </c>
      <c r="W178" s="243">
        <f>'6 Oversikt startpunkt'!L51</f>
        <v>-2</v>
      </c>
      <c r="X178" s="312" t="str">
        <f>'7 Passivhusnivå'!N35</f>
        <v>Ingen</v>
      </c>
      <c r="Y178" s="243">
        <f>'6 Oversikt startpunkt'!M51</f>
        <v>-2</v>
      </c>
      <c r="Z178" s="312" t="str">
        <f>'7 Passivhusnivå'!O35</f>
        <v>Ingen</v>
      </c>
    </row>
    <row r="179" spans="1:26" x14ac:dyDescent="0.2">
      <c r="A179" s="699"/>
      <c r="B179" s="78" t="s">
        <v>283</v>
      </c>
      <c r="C179" s="372"/>
      <c r="D179" s="373"/>
      <c r="E179" s="372"/>
      <c r="F179" s="373"/>
      <c r="G179" s="305">
        <f>'6 Oversikt startpunkt'!D52</f>
        <v>3.5</v>
      </c>
      <c r="H179" s="270">
        <v>2</v>
      </c>
      <c r="I179" s="305">
        <f>'6 Oversikt startpunkt'!E52</f>
        <v>3.5</v>
      </c>
      <c r="J179" s="270">
        <v>2</v>
      </c>
      <c r="K179" s="243">
        <f>'6 Oversikt startpunkt'!F52</f>
        <v>3.5</v>
      </c>
      <c r="L179" s="312">
        <v>2</v>
      </c>
      <c r="M179" s="271">
        <f>'6 Oversikt startpunkt'!G52</f>
        <v>3.5</v>
      </c>
      <c r="N179" s="270">
        <v>2</v>
      </c>
      <c r="O179" s="243">
        <f>'6 Oversikt startpunkt'!H52</f>
        <v>3.5</v>
      </c>
      <c r="P179" s="312">
        <v>2</v>
      </c>
      <c r="Q179" s="271">
        <f>'6 Oversikt startpunkt'!I52</f>
        <v>3.5</v>
      </c>
      <c r="R179" s="270">
        <v>2</v>
      </c>
      <c r="S179" s="243">
        <f>'6 Oversikt startpunkt'!J52</f>
        <v>3.5</v>
      </c>
      <c r="T179" s="312">
        <v>2</v>
      </c>
      <c r="U179" s="271">
        <f>'6 Oversikt startpunkt'!K52</f>
        <v>3.5</v>
      </c>
      <c r="V179" s="270">
        <v>2</v>
      </c>
      <c r="W179" s="243">
        <f>'6 Oversikt startpunkt'!L52</f>
        <v>3.5</v>
      </c>
      <c r="X179" s="312">
        <v>2</v>
      </c>
      <c r="Y179" s="243">
        <f>'6 Oversikt startpunkt'!M52</f>
        <v>3.5</v>
      </c>
      <c r="Z179" s="312">
        <v>2</v>
      </c>
    </row>
    <row r="180" spans="1:26" s="216" customFormat="1" x14ac:dyDescent="0.2">
      <c r="A180" s="699"/>
      <c r="B180" s="360" t="s">
        <v>490</v>
      </c>
      <c r="C180" s="353"/>
      <c r="D180" s="374"/>
      <c r="E180" s="353"/>
      <c r="F180" s="354"/>
      <c r="G180" s="292" t="s">
        <v>372</v>
      </c>
      <c r="H180" s="290" t="s">
        <v>397</v>
      </c>
      <c r="I180" s="289" t="s">
        <v>372</v>
      </c>
      <c r="J180" s="291" t="s">
        <v>397</v>
      </c>
      <c r="K180" s="292" t="s">
        <v>372</v>
      </c>
      <c r="L180" s="290" t="s">
        <v>397</v>
      </c>
      <c r="M180" s="289" t="s">
        <v>372</v>
      </c>
      <c r="N180" s="290" t="s">
        <v>397</v>
      </c>
      <c r="O180" s="289" t="s">
        <v>372</v>
      </c>
      <c r="P180" s="290" t="s">
        <v>397</v>
      </c>
      <c r="Q180" s="289" t="s">
        <v>372</v>
      </c>
      <c r="R180" s="290" t="s">
        <v>397</v>
      </c>
      <c r="S180" s="289" t="s">
        <v>372</v>
      </c>
      <c r="T180" s="290" t="s">
        <v>397</v>
      </c>
      <c r="U180" s="289" t="s">
        <v>372</v>
      </c>
      <c r="V180" s="290" t="s">
        <v>397</v>
      </c>
      <c r="W180" s="289" t="s">
        <v>372</v>
      </c>
      <c r="X180" s="290" t="s">
        <v>397</v>
      </c>
      <c r="Y180" s="289" t="s">
        <v>372</v>
      </c>
      <c r="Z180" s="291" t="s">
        <v>397</v>
      </c>
    </row>
    <row r="181" spans="1:26" x14ac:dyDescent="0.2">
      <c r="A181" s="699"/>
      <c r="B181" s="205" t="s">
        <v>373</v>
      </c>
      <c r="C181" s="355"/>
      <c r="D181" s="375"/>
      <c r="E181" s="355"/>
      <c r="F181" s="376"/>
      <c r="G181" s="285">
        <v>45892</v>
      </c>
      <c r="H181" s="231">
        <v>153</v>
      </c>
      <c r="I181" s="230">
        <v>320119</v>
      </c>
      <c r="J181" s="273">
        <v>88.9</v>
      </c>
      <c r="K181" s="285">
        <v>259039</v>
      </c>
      <c r="L181" s="231">
        <v>107.9</v>
      </c>
      <c r="M181" s="230">
        <v>319453</v>
      </c>
      <c r="N181" s="231">
        <v>88.7</v>
      </c>
      <c r="O181" s="230">
        <v>349421</v>
      </c>
      <c r="P181" s="231">
        <v>97.1</v>
      </c>
      <c r="Q181" s="230">
        <v>200015</v>
      </c>
      <c r="R181" s="231">
        <v>83.3</v>
      </c>
      <c r="S181" s="230">
        <v>268326</v>
      </c>
      <c r="T181" s="231">
        <v>111.8</v>
      </c>
      <c r="U181" s="230">
        <v>667952</v>
      </c>
      <c r="V181" s="231">
        <v>208.7</v>
      </c>
      <c r="W181" s="230">
        <v>292457</v>
      </c>
      <c r="X181" s="231">
        <v>81.2</v>
      </c>
      <c r="Y181" s="230">
        <v>321245</v>
      </c>
      <c r="Z181" s="273">
        <v>133.9</v>
      </c>
    </row>
    <row r="182" spans="1:26" x14ac:dyDescent="0.2">
      <c r="A182" s="699"/>
      <c r="B182" s="205" t="s">
        <v>374</v>
      </c>
      <c r="C182" s="355"/>
      <c r="D182" s="375"/>
      <c r="E182" s="355"/>
      <c r="F182" s="376"/>
      <c r="G182" s="285">
        <v>139</v>
      </c>
      <c r="H182" s="231">
        <v>0.5</v>
      </c>
      <c r="I182" s="230">
        <v>2137</v>
      </c>
      <c r="J182" s="273">
        <v>0.6</v>
      </c>
      <c r="K182" s="285">
        <v>1334</v>
      </c>
      <c r="L182" s="231">
        <v>0.6</v>
      </c>
      <c r="M182" s="230">
        <v>2493</v>
      </c>
      <c r="N182" s="231">
        <v>0.7</v>
      </c>
      <c r="O182" s="230">
        <v>8758</v>
      </c>
      <c r="P182" s="231">
        <v>2.4</v>
      </c>
      <c r="Q182" s="230">
        <v>4863</v>
      </c>
      <c r="R182" s="231">
        <v>2</v>
      </c>
      <c r="S182" s="230">
        <v>2370</v>
      </c>
      <c r="T182" s="231">
        <v>1</v>
      </c>
      <c r="U182" s="230">
        <v>14231</v>
      </c>
      <c r="V182" s="231">
        <v>4.4000000000000004</v>
      </c>
      <c r="W182" s="230">
        <v>4224</v>
      </c>
      <c r="X182" s="231">
        <v>1.2</v>
      </c>
      <c r="Y182" s="230">
        <v>1026</v>
      </c>
      <c r="Z182" s="273">
        <v>0.4</v>
      </c>
    </row>
    <row r="183" spans="1:26" x14ac:dyDescent="0.2">
      <c r="A183" s="699"/>
      <c r="B183" s="205" t="s">
        <v>375</v>
      </c>
      <c r="C183" s="355"/>
      <c r="D183" s="375"/>
      <c r="E183" s="355"/>
      <c r="F183" s="376"/>
      <c r="G183" s="285">
        <v>3007</v>
      </c>
      <c r="H183" s="231">
        <v>10</v>
      </c>
      <c r="I183" s="230">
        <v>18040</v>
      </c>
      <c r="J183" s="273">
        <v>5</v>
      </c>
      <c r="K183" s="285">
        <v>23530</v>
      </c>
      <c r="L183" s="231">
        <v>9.8000000000000007</v>
      </c>
      <c r="M183" s="230">
        <v>18040</v>
      </c>
      <c r="N183" s="231">
        <v>5</v>
      </c>
      <c r="O183" s="230">
        <v>107170</v>
      </c>
      <c r="P183" s="231">
        <v>29.8</v>
      </c>
      <c r="Q183" s="230">
        <v>71482</v>
      </c>
      <c r="R183" s="231">
        <v>29.8</v>
      </c>
      <c r="S183" s="230">
        <v>71482</v>
      </c>
      <c r="T183" s="231">
        <v>29.8</v>
      </c>
      <c r="U183" s="230">
        <v>156864</v>
      </c>
      <c r="V183" s="231">
        <v>49</v>
      </c>
      <c r="W183" s="230">
        <v>36408</v>
      </c>
      <c r="X183" s="231">
        <v>10.1</v>
      </c>
      <c r="Y183" s="230">
        <v>24054</v>
      </c>
      <c r="Z183" s="273">
        <v>10</v>
      </c>
    </row>
    <row r="184" spans="1:26" x14ac:dyDescent="0.2">
      <c r="A184" s="699"/>
      <c r="B184" s="205" t="s">
        <v>376</v>
      </c>
      <c r="C184" s="355"/>
      <c r="D184" s="375"/>
      <c r="E184" s="355"/>
      <c r="F184" s="376"/>
      <c r="G184" s="285">
        <v>3002</v>
      </c>
      <c r="H184" s="231">
        <v>10</v>
      </c>
      <c r="I184" s="230">
        <v>42282</v>
      </c>
      <c r="J184" s="273">
        <v>11.7</v>
      </c>
      <c r="K184" s="285">
        <v>26372</v>
      </c>
      <c r="L184" s="231">
        <v>11</v>
      </c>
      <c r="M184" s="230">
        <v>49329</v>
      </c>
      <c r="N184" s="231">
        <v>13.7</v>
      </c>
      <c r="O184" s="230">
        <v>121248</v>
      </c>
      <c r="P184" s="231">
        <v>33.700000000000003</v>
      </c>
      <c r="Q184" s="230">
        <v>64015</v>
      </c>
      <c r="R184" s="231">
        <v>26.7</v>
      </c>
      <c r="S184" s="230">
        <v>42585</v>
      </c>
      <c r="T184" s="231">
        <v>17.7</v>
      </c>
      <c r="U184" s="230">
        <v>30957</v>
      </c>
      <c r="V184" s="231">
        <v>9.6999999999999993</v>
      </c>
      <c r="W184" s="230">
        <v>92683</v>
      </c>
      <c r="X184" s="231">
        <v>25.7</v>
      </c>
      <c r="Y184" s="230">
        <v>26100</v>
      </c>
      <c r="Z184" s="273">
        <v>10.9</v>
      </c>
    </row>
    <row r="185" spans="1:26" x14ac:dyDescent="0.2">
      <c r="A185" s="699"/>
      <c r="B185" s="205" t="s">
        <v>377</v>
      </c>
      <c r="C185" s="355"/>
      <c r="D185" s="375"/>
      <c r="E185" s="355"/>
      <c r="F185" s="376"/>
      <c r="G185" s="285">
        <v>328</v>
      </c>
      <c r="H185" s="231">
        <v>1.1000000000000001</v>
      </c>
      <c r="I185" s="230">
        <v>10014</v>
      </c>
      <c r="J185" s="273">
        <v>2.8</v>
      </c>
      <c r="K185" s="285">
        <v>2013</v>
      </c>
      <c r="L185" s="231">
        <v>0.8</v>
      </c>
      <c r="M185" s="230">
        <v>11262</v>
      </c>
      <c r="N185" s="231">
        <v>3.1</v>
      </c>
      <c r="O185" s="230">
        <v>13762</v>
      </c>
      <c r="P185" s="231">
        <v>3.8</v>
      </c>
      <c r="Q185" s="230">
        <v>1631</v>
      </c>
      <c r="R185" s="231">
        <v>0.7</v>
      </c>
      <c r="S185" s="230">
        <v>6816</v>
      </c>
      <c r="T185" s="231">
        <v>2.8</v>
      </c>
      <c r="U185" s="230">
        <v>4598</v>
      </c>
      <c r="V185" s="231">
        <v>1.4</v>
      </c>
      <c r="W185" s="230">
        <v>14928</v>
      </c>
      <c r="X185" s="231">
        <v>4.0999999999999996</v>
      </c>
      <c r="Y185" s="230">
        <v>7672</v>
      </c>
      <c r="Z185" s="273">
        <v>3.2</v>
      </c>
    </row>
    <row r="186" spans="1:26" x14ac:dyDescent="0.2">
      <c r="A186" s="699"/>
      <c r="B186" s="205" t="s">
        <v>378</v>
      </c>
      <c r="C186" s="355"/>
      <c r="D186" s="375"/>
      <c r="E186" s="355"/>
      <c r="F186" s="376"/>
      <c r="G186" s="285">
        <v>10805</v>
      </c>
      <c r="H186" s="231">
        <v>36</v>
      </c>
      <c r="I186" s="230">
        <v>152215</v>
      </c>
      <c r="J186" s="273">
        <v>42.3</v>
      </c>
      <c r="K186" s="285">
        <v>89010</v>
      </c>
      <c r="L186" s="231">
        <v>37.1</v>
      </c>
      <c r="M186" s="230">
        <v>152215</v>
      </c>
      <c r="N186" s="231">
        <v>42.3</v>
      </c>
      <c r="O186" s="230">
        <v>275951</v>
      </c>
      <c r="P186" s="231">
        <v>76.7</v>
      </c>
      <c r="Q186" s="230">
        <v>183960</v>
      </c>
      <c r="R186" s="231">
        <v>76.7</v>
      </c>
      <c r="S186" s="230">
        <v>183960</v>
      </c>
      <c r="T186" s="231">
        <v>76.7</v>
      </c>
      <c r="U186" s="230">
        <v>111456</v>
      </c>
      <c r="V186" s="231">
        <v>34.799999999999997</v>
      </c>
      <c r="W186" s="230">
        <v>341223</v>
      </c>
      <c r="X186" s="231">
        <v>94.8</v>
      </c>
      <c r="Y186" s="230">
        <v>93960</v>
      </c>
      <c r="Z186" s="273">
        <v>39.1</v>
      </c>
    </row>
    <row r="187" spans="1:26" x14ac:dyDescent="0.2">
      <c r="A187" s="699"/>
      <c r="B187" s="205" t="s">
        <v>379</v>
      </c>
      <c r="C187" s="355"/>
      <c r="D187" s="375"/>
      <c r="E187" s="355"/>
      <c r="F187" s="376"/>
      <c r="G187" s="285">
        <v>1801</v>
      </c>
      <c r="H187" s="231">
        <v>6</v>
      </c>
      <c r="I187" s="230">
        <v>139560</v>
      </c>
      <c r="J187" s="273">
        <v>38.799999999999997</v>
      </c>
      <c r="K187" s="285">
        <v>35604</v>
      </c>
      <c r="L187" s="231">
        <v>14.8</v>
      </c>
      <c r="M187" s="230">
        <v>139560</v>
      </c>
      <c r="N187" s="231">
        <v>38.799999999999997</v>
      </c>
      <c r="O187" s="230">
        <v>183960</v>
      </c>
      <c r="P187" s="231">
        <v>51.1</v>
      </c>
      <c r="Q187" s="230">
        <v>61320</v>
      </c>
      <c r="R187" s="231">
        <v>25.6</v>
      </c>
      <c r="S187" s="230">
        <v>15330</v>
      </c>
      <c r="T187" s="231">
        <v>6.4</v>
      </c>
      <c r="U187" s="230">
        <v>9288</v>
      </c>
      <c r="V187" s="231">
        <v>2.9</v>
      </c>
      <c r="W187" s="230">
        <v>15163</v>
      </c>
      <c r="X187" s="231">
        <v>4.2</v>
      </c>
      <c r="Y187" s="230">
        <v>7830</v>
      </c>
      <c r="Z187" s="273">
        <v>3.3</v>
      </c>
    </row>
    <row r="188" spans="1:26" x14ac:dyDescent="0.2">
      <c r="A188" s="699"/>
      <c r="B188" s="205" t="s">
        <v>380</v>
      </c>
      <c r="C188" s="355"/>
      <c r="D188" s="375"/>
      <c r="E188" s="377"/>
      <c r="F188" s="376"/>
      <c r="G188" s="285">
        <v>0</v>
      </c>
      <c r="H188" s="231">
        <v>0</v>
      </c>
      <c r="I188" s="230">
        <v>0</v>
      </c>
      <c r="J188" s="273">
        <v>0</v>
      </c>
      <c r="K188" s="285">
        <v>0</v>
      </c>
      <c r="L188" s="231">
        <v>0</v>
      </c>
      <c r="M188" s="230">
        <v>0</v>
      </c>
      <c r="N188" s="231">
        <v>0</v>
      </c>
      <c r="O188" s="230">
        <v>0</v>
      </c>
      <c r="P188" s="231">
        <v>0</v>
      </c>
      <c r="Q188" s="230">
        <v>0</v>
      </c>
      <c r="R188" s="231">
        <v>0</v>
      </c>
      <c r="S188" s="230">
        <v>0</v>
      </c>
      <c r="T188" s="231">
        <v>0</v>
      </c>
      <c r="U188" s="230">
        <v>0</v>
      </c>
      <c r="V188" s="231">
        <v>0</v>
      </c>
      <c r="W188" s="230">
        <v>0</v>
      </c>
      <c r="X188" s="231">
        <v>0</v>
      </c>
      <c r="Y188" s="230">
        <v>0</v>
      </c>
      <c r="Z188" s="273">
        <v>0</v>
      </c>
    </row>
    <row r="189" spans="1:26" x14ac:dyDescent="0.2">
      <c r="A189" s="699"/>
      <c r="B189" s="205" t="s">
        <v>381</v>
      </c>
      <c r="C189" s="355"/>
      <c r="D189" s="375"/>
      <c r="E189" s="377"/>
      <c r="F189" s="376"/>
      <c r="G189" s="285">
        <v>0</v>
      </c>
      <c r="H189" s="231">
        <v>0</v>
      </c>
      <c r="I189" s="230">
        <v>41374</v>
      </c>
      <c r="J189" s="273">
        <v>11.5</v>
      </c>
      <c r="K189" s="285">
        <v>0</v>
      </c>
      <c r="L189" s="231">
        <v>0</v>
      </c>
      <c r="M189" s="230">
        <v>48270</v>
      </c>
      <c r="N189" s="231">
        <v>13.4</v>
      </c>
      <c r="O189" s="230">
        <v>99120</v>
      </c>
      <c r="P189" s="231">
        <v>27.5</v>
      </c>
      <c r="Q189" s="230">
        <v>0</v>
      </c>
      <c r="R189" s="231">
        <v>0</v>
      </c>
      <c r="S189" s="230">
        <v>38598</v>
      </c>
      <c r="T189" s="231">
        <v>16.100000000000001</v>
      </c>
      <c r="U189" s="230">
        <v>0</v>
      </c>
      <c r="V189" s="231">
        <v>0</v>
      </c>
      <c r="W189" s="230">
        <v>101312</v>
      </c>
      <c r="X189" s="231">
        <v>28.1</v>
      </c>
      <c r="Y189" s="230">
        <v>29235</v>
      </c>
      <c r="Z189" s="273">
        <v>12.2</v>
      </c>
    </row>
    <row r="190" spans="1:26" s="20" customFormat="1" x14ac:dyDescent="0.2">
      <c r="A190" s="699"/>
      <c r="B190" s="284" t="s">
        <v>382</v>
      </c>
      <c r="C190" s="357"/>
      <c r="D190" s="378"/>
      <c r="E190" s="357"/>
      <c r="F190" s="379"/>
      <c r="G190" s="286">
        <v>64973</v>
      </c>
      <c r="H190" s="276">
        <v>216.6</v>
      </c>
      <c r="I190" s="275">
        <v>725742</v>
      </c>
      <c r="J190" s="279">
        <v>201.6</v>
      </c>
      <c r="K190" s="286">
        <v>436901</v>
      </c>
      <c r="L190" s="276">
        <v>182</v>
      </c>
      <c r="M190" s="275">
        <v>740622</v>
      </c>
      <c r="N190" s="276">
        <v>205.7</v>
      </c>
      <c r="O190" s="275">
        <v>1159390</v>
      </c>
      <c r="P190" s="276">
        <v>322.10000000000002</v>
      </c>
      <c r="Q190" s="275">
        <v>587285</v>
      </c>
      <c r="R190" s="276">
        <v>244.7</v>
      </c>
      <c r="S190" s="275">
        <v>629467</v>
      </c>
      <c r="T190" s="276">
        <v>262.3</v>
      </c>
      <c r="U190" s="275">
        <v>995347</v>
      </c>
      <c r="V190" s="276">
        <v>311</v>
      </c>
      <c r="W190" s="275">
        <v>898397</v>
      </c>
      <c r="X190" s="276">
        <v>249.6</v>
      </c>
      <c r="Y190" s="275">
        <v>511123</v>
      </c>
      <c r="Z190" s="279">
        <v>213</v>
      </c>
    </row>
    <row r="191" spans="1:26" s="216" customFormat="1" x14ac:dyDescent="0.2">
      <c r="A191" s="699"/>
      <c r="B191" s="361" t="s">
        <v>574</v>
      </c>
      <c r="C191" s="353"/>
      <c r="D191" s="354"/>
      <c r="E191" s="353"/>
      <c r="F191" s="354"/>
      <c r="G191" s="353" t="s">
        <v>372</v>
      </c>
      <c r="H191" s="354" t="s">
        <v>397</v>
      </c>
      <c r="I191" s="353" t="s">
        <v>372</v>
      </c>
      <c r="J191" s="354" t="s">
        <v>397</v>
      </c>
      <c r="K191" s="353" t="s">
        <v>372</v>
      </c>
      <c r="L191" s="354" t="s">
        <v>397</v>
      </c>
      <c r="M191" s="353" t="s">
        <v>372</v>
      </c>
      <c r="N191" s="354" t="s">
        <v>397</v>
      </c>
      <c r="O191" s="353" t="s">
        <v>372</v>
      </c>
      <c r="P191" s="354" t="s">
        <v>397</v>
      </c>
      <c r="Q191" s="353" t="s">
        <v>372</v>
      </c>
      <c r="R191" s="354" t="s">
        <v>397</v>
      </c>
      <c r="S191" s="353" t="s">
        <v>372</v>
      </c>
      <c r="T191" s="354" t="s">
        <v>397</v>
      </c>
      <c r="U191" s="353" t="s">
        <v>372</v>
      </c>
      <c r="V191" s="354" t="s">
        <v>397</v>
      </c>
      <c r="W191" s="353" t="s">
        <v>372</v>
      </c>
      <c r="X191" s="354" t="s">
        <v>397</v>
      </c>
      <c r="Y191" s="353" t="s">
        <v>372</v>
      </c>
      <c r="Z191" s="354" t="s">
        <v>397</v>
      </c>
    </row>
    <row r="192" spans="1:26" x14ac:dyDescent="0.2">
      <c r="A192" s="699"/>
      <c r="B192" s="362" t="s">
        <v>373</v>
      </c>
      <c r="C192" s="355"/>
      <c r="D192" s="356"/>
      <c r="E192" s="355"/>
      <c r="F192" s="356"/>
      <c r="G192" s="355">
        <f t="shared" ref="G192:Z192" si="61">G$6-G181</f>
        <v>3921</v>
      </c>
      <c r="H192" s="356">
        <f t="shared" si="61"/>
        <v>13</v>
      </c>
      <c r="I192" s="355">
        <f t="shared" si="61"/>
        <v>41893</v>
      </c>
      <c r="J192" s="356">
        <f t="shared" si="61"/>
        <v>11.699999999999989</v>
      </c>
      <c r="K192" s="355">
        <f t="shared" si="61"/>
        <v>36811</v>
      </c>
      <c r="L192" s="356">
        <f t="shared" si="61"/>
        <v>15.399999999999991</v>
      </c>
      <c r="M192" s="355">
        <f t="shared" si="61"/>
        <v>72495</v>
      </c>
      <c r="N192" s="356">
        <f t="shared" si="61"/>
        <v>20.200000000000003</v>
      </c>
      <c r="O192" s="355">
        <f t="shared" si="61"/>
        <v>220431</v>
      </c>
      <c r="P192" s="356">
        <f t="shared" si="61"/>
        <v>61.200000000000017</v>
      </c>
      <c r="Q192" s="355">
        <f t="shared" si="61"/>
        <v>76101</v>
      </c>
      <c r="R192" s="356">
        <f t="shared" si="61"/>
        <v>31.700000000000003</v>
      </c>
      <c r="S192" s="355">
        <f t="shared" si="61"/>
        <v>99011</v>
      </c>
      <c r="T192" s="356">
        <f t="shared" si="61"/>
        <v>41.3</v>
      </c>
      <c r="U192" s="355">
        <f t="shared" si="61"/>
        <v>16346</v>
      </c>
      <c r="V192" s="356">
        <f t="shared" si="61"/>
        <v>5.1000000000000227</v>
      </c>
      <c r="W192" s="355">
        <f t="shared" si="61"/>
        <v>162992</v>
      </c>
      <c r="X192" s="356">
        <f t="shared" si="61"/>
        <v>45.3</v>
      </c>
      <c r="Y192" s="355">
        <f t="shared" si="61"/>
        <v>61083</v>
      </c>
      <c r="Z192" s="356">
        <f t="shared" si="61"/>
        <v>25.400000000000006</v>
      </c>
    </row>
    <row r="193" spans="1:26" x14ac:dyDescent="0.2">
      <c r="A193" s="699"/>
      <c r="B193" s="362" t="s">
        <v>374</v>
      </c>
      <c r="C193" s="355"/>
      <c r="D193" s="356"/>
      <c r="E193" s="355"/>
      <c r="F193" s="356"/>
      <c r="G193" s="355">
        <f t="shared" ref="G193:Z193" si="62">G$7-G182</f>
        <v>8642</v>
      </c>
      <c r="H193" s="356">
        <f t="shared" si="62"/>
        <v>28.8</v>
      </c>
      <c r="I193" s="355">
        <f t="shared" si="62"/>
        <v>102911</v>
      </c>
      <c r="J193" s="356">
        <f t="shared" si="62"/>
        <v>28.599999999999998</v>
      </c>
      <c r="K193" s="355">
        <f t="shared" si="62"/>
        <v>86821</v>
      </c>
      <c r="L193" s="356">
        <f t="shared" si="62"/>
        <v>36.1</v>
      </c>
      <c r="M193" s="355">
        <f t="shared" si="62"/>
        <v>134462</v>
      </c>
      <c r="N193" s="356">
        <f t="shared" si="62"/>
        <v>37.299999999999997</v>
      </c>
      <c r="O193" s="355">
        <f t="shared" si="62"/>
        <v>334646</v>
      </c>
      <c r="P193" s="356">
        <f t="shared" si="62"/>
        <v>93</v>
      </c>
      <c r="Q193" s="355">
        <f t="shared" si="62"/>
        <v>202028</v>
      </c>
      <c r="R193" s="356">
        <f t="shared" si="62"/>
        <v>84.2</v>
      </c>
      <c r="S193" s="355">
        <f t="shared" si="62"/>
        <v>127722</v>
      </c>
      <c r="T193" s="356">
        <f t="shared" si="62"/>
        <v>53.2</v>
      </c>
      <c r="U193" s="355">
        <f t="shared" si="62"/>
        <v>123757</v>
      </c>
      <c r="V193" s="356">
        <f t="shared" si="62"/>
        <v>38.700000000000003</v>
      </c>
      <c r="W193" s="355">
        <f t="shared" si="62"/>
        <v>235586</v>
      </c>
      <c r="X193" s="356">
        <f t="shared" si="62"/>
        <v>65.399999999999991</v>
      </c>
      <c r="Y193" s="355">
        <f t="shared" si="62"/>
        <v>72859</v>
      </c>
      <c r="Z193" s="356">
        <f t="shared" si="62"/>
        <v>30.400000000000002</v>
      </c>
    </row>
    <row r="194" spans="1:26" x14ac:dyDescent="0.2">
      <c r="A194" s="699"/>
      <c r="B194" s="362" t="s">
        <v>375</v>
      </c>
      <c r="C194" s="355"/>
      <c r="D194" s="356"/>
      <c r="E194" s="355"/>
      <c r="F194" s="356"/>
      <c r="G194" s="355">
        <f t="shared" ref="G194:Z194" si="63">G$8-G183</f>
        <v>0</v>
      </c>
      <c r="H194" s="356">
        <f t="shared" si="63"/>
        <v>0</v>
      </c>
      <c r="I194" s="355">
        <f t="shared" si="63"/>
        <v>0</v>
      </c>
      <c r="J194" s="356">
        <f t="shared" si="63"/>
        <v>0</v>
      </c>
      <c r="K194" s="355">
        <f t="shared" si="63"/>
        <v>0</v>
      </c>
      <c r="L194" s="356">
        <f t="shared" si="63"/>
        <v>0</v>
      </c>
      <c r="M194" s="355">
        <f t="shared" si="63"/>
        <v>0</v>
      </c>
      <c r="N194" s="356">
        <f t="shared" si="63"/>
        <v>0</v>
      </c>
      <c r="O194" s="355">
        <f t="shared" si="63"/>
        <v>0</v>
      </c>
      <c r="P194" s="356">
        <f t="shared" si="63"/>
        <v>0</v>
      </c>
      <c r="Q194" s="355">
        <f t="shared" si="63"/>
        <v>0</v>
      </c>
      <c r="R194" s="356">
        <f t="shared" si="63"/>
        <v>0</v>
      </c>
      <c r="S194" s="355">
        <f t="shared" si="63"/>
        <v>0</v>
      </c>
      <c r="T194" s="356">
        <f t="shared" si="63"/>
        <v>0</v>
      </c>
      <c r="U194" s="355">
        <f t="shared" si="63"/>
        <v>0</v>
      </c>
      <c r="V194" s="356">
        <f t="shared" si="63"/>
        <v>0</v>
      </c>
      <c r="W194" s="355">
        <f t="shared" si="63"/>
        <v>0</v>
      </c>
      <c r="X194" s="356">
        <f t="shared" si="63"/>
        <v>0</v>
      </c>
      <c r="Y194" s="355">
        <f t="shared" si="63"/>
        <v>0</v>
      </c>
      <c r="Z194" s="356">
        <f t="shared" si="63"/>
        <v>0</v>
      </c>
    </row>
    <row r="195" spans="1:26" x14ac:dyDescent="0.2">
      <c r="A195" s="699"/>
      <c r="B195" s="362" t="s">
        <v>376</v>
      </c>
      <c r="C195" s="355"/>
      <c r="D195" s="356"/>
      <c r="E195" s="355"/>
      <c r="F195" s="356"/>
      <c r="G195" s="355">
        <f t="shared" ref="G195:Z195" si="64">G$9-G184</f>
        <v>7503</v>
      </c>
      <c r="H195" s="356">
        <f t="shared" si="64"/>
        <v>25</v>
      </c>
      <c r="I195" s="355">
        <f t="shared" si="64"/>
        <v>81061</v>
      </c>
      <c r="J195" s="356">
        <f t="shared" si="64"/>
        <v>22.599999999999998</v>
      </c>
      <c r="K195" s="355">
        <f t="shared" si="64"/>
        <v>65938</v>
      </c>
      <c r="L195" s="356">
        <f t="shared" si="64"/>
        <v>27.5</v>
      </c>
      <c r="M195" s="355">
        <f t="shared" si="64"/>
        <v>111003</v>
      </c>
      <c r="N195" s="356">
        <f t="shared" si="64"/>
        <v>30.8</v>
      </c>
      <c r="O195" s="355">
        <f t="shared" si="64"/>
        <v>248213</v>
      </c>
      <c r="P195" s="356">
        <f t="shared" si="64"/>
        <v>68.899999999999991</v>
      </c>
      <c r="Q195" s="355">
        <f t="shared" si="64"/>
        <v>152197</v>
      </c>
      <c r="R195" s="356">
        <f t="shared" si="64"/>
        <v>63.399999999999991</v>
      </c>
      <c r="S195" s="355">
        <f t="shared" si="64"/>
        <v>106452</v>
      </c>
      <c r="T195" s="356">
        <f t="shared" si="64"/>
        <v>44.400000000000006</v>
      </c>
      <c r="U195" s="355">
        <f t="shared" si="64"/>
        <v>77411</v>
      </c>
      <c r="V195" s="356">
        <f t="shared" si="64"/>
        <v>24.2</v>
      </c>
      <c r="W195" s="355">
        <f t="shared" si="64"/>
        <v>202209</v>
      </c>
      <c r="X195" s="356">
        <f t="shared" si="64"/>
        <v>56.2</v>
      </c>
      <c r="Y195" s="355">
        <f t="shared" si="64"/>
        <v>65250</v>
      </c>
      <c r="Z195" s="356">
        <f t="shared" si="64"/>
        <v>27.200000000000003</v>
      </c>
    </row>
    <row r="196" spans="1:26" x14ac:dyDescent="0.2">
      <c r="A196" s="699"/>
      <c r="B196" s="362" t="s">
        <v>377</v>
      </c>
      <c r="C196" s="355"/>
      <c r="D196" s="356"/>
      <c r="E196" s="355"/>
      <c r="F196" s="356"/>
      <c r="G196" s="355">
        <f t="shared" ref="G196:Z196" si="65">G$10-G185</f>
        <v>203</v>
      </c>
      <c r="H196" s="356">
        <f t="shared" si="65"/>
        <v>0.7</v>
      </c>
      <c r="I196" s="355">
        <f t="shared" si="65"/>
        <v>1358</v>
      </c>
      <c r="J196" s="356">
        <f t="shared" si="65"/>
        <v>0.40000000000000036</v>
      </c>
      <c r="K196" s="355">
        <f t="shared" si="65"/>
        <v>2410</v>
      </c>
      <c r="L196" s="356">
        <f t="shared" si="65"/>
        <v>1</v>
      </c>
      <c r="M196" s="355">
        <f t="shared" si="65"/>
        <v>1784</v>
      </c>
      <c r="N196" s="356">
        <f t="shared" si="65"/>
        <v>0.5</v>
      </c>
      <c r="O196" s="355">
        <f t="shared" si="65"/>
        <v>2391</v>
      </c>
      <c r="P196" s="356">
        <f t="shared" si="65"/>
        <v>0.70000000000000018</v>
      </c>
      <c r="Q196" s="355">
        <f t="shared" si="65"/>
        <v>2044</v>
      </c>
      <c r="R196" s="356">
        <f t="shared" si="65"/>
        <v>0.8</v>
      </c>
      <c r="S196" s="355">
        <f t="shared" si="65"/>
        <v>6348</v>
      </c>
      <c r="T196" s="356">
        <f t="shared" si="65"/>
        <v>2.7</v>
      </c>
      <c r="U196" s="355">
        <f t="shared" si="65"/>
        <v>2030</v>
      </c>
      <c r="V196" s="356">
        <f t="shared" si="65"/>
        <v>0.70000000000000018</v>
      </c>
      <c r="W196" s="355">
        <f t="shared" si="65"/>
        <v>2935</v>
      </c>
      <c r="X196" s="356">
        <f t="shared" si="65"/>
        <v>0.90000000000000036</v>
      </c>
      <c r="Y196" s="355">
        <f t="shared" si="65"/>
        <v>737</v>
      </c>
      <c r="Z196" s="356">
        <f t="shared" si="65"/>
        <v>0.29999999999999982</v>
      </c>
    </row>
    <row r="197" spans="1:26" x14ac:dyDescent="0.2">
      <c r="A197" s="699"/>
      <c r="B197" s="362" t="s">
        <v>378</v>
      </c>
      <c r="C197" s="355"/>
      <c r="D197" s="356"/>
      <c r="E197" s="355"/>
      <c r="F197" s="356"/>
      <c r="G197" s="355">
        <f t="shared" ref="G197:Z197" si="66">G$11-G186</f>
        <v>0</v>
      </c>
      <c r="H197" s="356">
        <f t="shared" si="66"/>
        <v>0</v>
      </c>
      <c r="I197" s="355">
        <f t="shared" si="66"/>
        <v>0</v>
      </c>
      <c r="J197" s="356">
        <f t="shared" si="66"/>
        <v>0</v>
      </c>
      <c r="K197" s="355">
        <f t="shared" si="66"/>
        <v>0</v>
      </c>
      <c r="L197" s="356">
        <f t="shared" si="66"/>
        <v>0</v>
      </c>
      <c r="M197" s="355">
        <f t="shared" si="66"/>
        <v>0</v>
      </c>
      <c r="N197" s="356">
        <f t="shared" si="66"/>
        <v>0</v>
      </c>
      <c r="O197" s="355">
        <f t="shared" si="66"/>
        <v>0</v>
      </c>
      <c r="P197" s="356">
        <f t="shared" si="66"/>
        <v>0</v>
      </c>
      <c r="Q197" s="355">
        <f t="shared" si="66"/>
        <v>0</v>
      </c>
      <c r="R197" s="356">
        <f t="shared" si="66"/>
        <v>0</v>
      </c>
      <c r="S197" s="355">
        <f t="shared" si="66"/>
        <v>0</v>
      </c>
      <c r="T197" s="356">
        <f t="shared" si="66"/>
        <v>0</v>
      </c>
      <c r="U197" s="355">
        <f t="shared" si="66"/>
        <v>0</v>
      </c>
      <c r="V197" s="356">
        <f t="shared" si="66"/>
        <v>0</v>
      </c>
      <c r="W197" s="355">
        <f t="shared" si="66"/>
        <v>0</v>
      </c>
      <c r="X197" s="356">
        <f t="shared" si="66"/>
        <v>0</v>
      </c>
      <c r="Y197" s="355">
        <f t="shared" si="66"/>
        <v>0</v>
      </c>
      <c r="Z197" s="356">
        <f t="shared" si="66"/>
        <v>0</v>
      </c>
    </row>
    <row r="198" spans="1:26" x14ac:dyDescent="0.2">
      <c r="A198" s="699"/>
      <c r="B198" s="362" t="s">
        <v>379</v>
      </c>
      <c r="C198" s="355"/>
      <c r="D198" s="356"/>
      <c r="E198" s="355"/>
      <c r="F198" s="356"/>
      <c r="G198" s="355">
        <f t="shared" ref="G198:Z198" si="67">G$12-G187</f>
        <v>0</v>
      </c>
      <c r="H198" s="356">
        <f t="shared" si="67"/>
        <v>0</v>
      </c>
      <c r="I198" s="355">
        <f t="shared" si="67"/>
        <v>0</v>
      </c>
      <c r="J198" s="356">
        <f t="shared" si="67"/>
        <v>0</v>
      </c>
      <c r="K198" s="355">
        <f t="shared" si="67"/>
        <v>0</v>
      </c>
      <c r="L198" s="356">
        <f t="shared" si="67"/>
        <v>0</v>
      </c>
      <c r="M198" s="355">
        <f t="shared" si="67"/>
        <v>0</v>
      </c>
      <c r="N198" s="356">
        <f t="shared" si="67"/>
        <v>0</v>
      </c>
      <c r="O198" s="355">
        <f t="shared" si="67"/>
        <v>0</v>
      </c>
      <c r="P198" s="356">
        <f t="shared" si="67"/>
        <v>0</v>
      </c>
      <c r="Q198" s="355">
        <f t="shared" si="67"/>
        <v>0</v>
      </c>
      <c r="R198" s="356">
        <f t="shared" si="67"/>
        <v>0</v>
      </c>
      <c r="S198" s="355">
        <f t="shared" si="67"/>
        <v>0</v>
      </c>
      <c r="T198" s="356">
        <f t="shared" si="67"/>
        <v>0</v>
      </c>
      <c r="U198" s="355">
        <f t="shared" si="67"/>
        <v>0</v>
      </c>
      <c r="V198" s="356">
        <f t="shared" si="67"/>
        <v>0</v>
      </c>
      <c r="W198" s="355">
        <f t="shared" si="67"/>
        <v>0</v>
      </c>
      <c r="X198" s="356">
        <f t="shared" si="67"/>
        <v>0</v>
      </c>
      <c r="Y198" s="355">
        <f t="shared" si="67"/>
        <v>0</v>
      </c>
      <c r="Z198" s="356">
        <f t="shared" si="67"/>
        <v>0</v>
      </c>
    </row>
    <row r="199" spans="1:26" x14ac:dyDescent="0.2">
      <c r="A199" s="699"/>
      <c r="B199" s="362" t="s">
        <v>380</v>
      </c>
      <c r="C199" s="355"/>
      <c r="D199" s="356"/>
      <c r="E199" s="355"/>
      <c r="F199" s="356"/>
      <c r="G199" s="355">
        <f t="shared" ref="G199:Z199" si="68">G$13-G188</f>
        <v>0</v>
      </c>
      <c r="H199" s="356">
        <f t="shared" si="68"/>
        <v>0</v>
      </c>
      <c r="I199" s="355">
        <f t="shared" si="68"/>
        <v>0</v>
      </c>
      <c r="J199" s="356">
        <f t="shared" si="68"/>
        <v>0</v>
      </c>
      <c r="K199" s="355">
        <f t="shared" si="68"/>
        <v>0</v>
      </c>
      <c r="L199" s="356">
        <f t="shared" si="68"/>
        <v>0</v>
      </c>
      <c r="M199" s="355">
        <f t="shared" si="68"/>
        <v>0</v>
      </c>
      <c r="N199" s="356">
        <f t="shared" si="68"/>
        <v>0</v>
      </c>
      <c r="O199" s="355">
        <f t="shared" si="68"/>
        <v>0</v>
      </c>
      <c r="P199" s="356">
        <f t="shared" si="68"/>
        <v>0</v>
      </c>
      <c r="Q199" s="355">
        <f t="shared" si="68"/>
        <v>0</v>
      </c>
      <c r="R199" s="356">
        <f t="shared" si="68"/>
        <v>0</v>
      </c>
      <c r="S199" s="355">
        <f t="shared" si="68"/>
        <v>0</v>
      </c>
      <c r="T199" s="356">
        <f t="shared" si="68"/>
        <v>0</v>
      </c>
      <c r="U199" s="355">
        <f t="shared" si="68"/>
        <v>0</v>
      </c>
      <c r="V199" s="356">
        <f t="shared" si="68"/>
        <v>0</v>
      </c>
      <c r="W199" s="355">
        <f t="shared" si="68"/>
        <v>0</v>
      </c>
      <c r="X199" s="356">
        <f t="shared" si="68"/>
        <v>0</v>
      </c>
      <c r="Y199" s="355">
        <f t="shared" si="68"/>
        <v>0</v>
      </c>
      <c r="Z199" s="356">
        <f t="shared" si="68"/>
        <v>0</v>
      </c>
    </row>
    <row r="200" spans="1:26" x14ac:dyDescent="0.2">
      <c r="A200" s="699"/>
      <c r="B200" s="362" t="s">
        <v>381</v>
      </c>
      <c r="C200" s="355"/>
      <c r="D200" s="356"/>
      <c r="E200" s="355"/>
      <c r="F200" s="356"/>
      <c r="G200" s="355">
        <f t="shared" ref="G200:Z200" si="69">G$14-G189</f>
        <v>0</v>
      </c>
      <c r="H200" s="356">
        <f t="shared" si="69"/>
        <v>0</v>
      </c>
      <c r="I200" s="355">
        <f t="shared" si="69"/>
        <v>32592</v>
      </c>
      <c r="J200" s="356">
        <f t="shared" si="69"/>
        <v>9</v>
      </c>
      <c r="K200" s="355">
        <f t="shared" si="69"/>
        <v>0</v>
      </c>
      <c r="L200" s="356">
        <f t="shared" si="69"/>
        <v>0</v>
      </c>
      <c r="M200" s="355">
        <f t="shared" si="69"/>
        <v>46077</v>
      </c>
      <c r="N200" s="356">
        <f t="shared" si="69"/>
        <v>12.799999999999999</v>
      </c>
      <c r="O200" s="355">
        <f t="shared" si="69"/>
        <v>89620</v>
      </c>
      <c r="P200" s="356">
        <f t="shared" si="69"/>
        <v>24.9</v>
      </c>
      <c r="Q200" s="355">
        <f t="shared" si="69"/>
        <v>0</v>
      </c>
      <c r="R200" s="356">
        <f t="shared" si="69"/>
        <v>0</v>
      </c>
      <c r="S200" s="355">
        <f t="shared" si="69"/>
        <v>47095</v>
      </c>
      <c r="T200" s="356">
        <f t="shared" si="69"/>
        <v>19.600000000000001</v>
      </c>
      <c r="U200" s="355">
        <f t="shared" si="69"/>
        <v>0</v>
      </c>
      <c r="V200" s="356">
        <f t="shared" si="69"/>
        <v>0</v>
      </c>
      <c r="W200" s="355">
        <f t="shared" si="69"/>
        <v>87734</v>
      </c>
      <c r="X200" s="356">
        <f t="shared" si="69"/>
        <v>24.4</v>
      </c>
      <c r="Y200" s="355">
        <f t="shared" si="69"/>
        <v>32758</v>
      </c>
      <c r="Z200" s="356">
        <f t="shared" si="69"/>
        <v>13.600000000000001</v>
      </c>
    </row>
    <row r="201" spans="1:26" s="20" customFormat="1" x14ac:dyDescent="0.2">
      <c r="A201" s="699"/>
      <c r="B201" s="363" t="s">
        <v>382</v>
      </c>
      <c r="C201" s="357"/>
      <c r="D201" s="358"/>
      <c r="E201" s="357"/>
      <c r="F201" s="358"/>
      <c r="G201" s="357">
        <f t="shared" ref="G201:Z201" si="70">G$15-G190</f>
        <v>20270</v>
      </c>
      <c r="H201" s="358">
        <f t="shared" si="70"/>
        <v>67.500000000000028</v>
      </c>
      <c r="I201" s="357">
        <f t="shared" si="70"/>
        <v>259814</v>
      </c>
      <c r="J201" s="358">
        <f t="shared" si="70"/>
        <v>72.200000000000017</v>
      </c>
      <c r="K201" s="357">
        <f t="shared" si="70"/>
        <v>191982</v>
      </c>
      <c r="L201" s="358">
        <f t="shared" si="70"/>
        <v>80</v>
      </c>
      <c r="M201" s="357">
        <f t="shared" si="70"/>
        <v>365821</v>
      </c>
      <c r="N201" s="358">
        <f t="shared" si="70"/>
        <v>101.60000000000002</v>
      </c>
      <c r="O201" s="357">
        <f t="shared" si="70"/>
        <v>895301</v>
      </c>
      <c r="P201" s="358">
        <f t="shared" si="70"/>
        <v>248.60000000000002</v>
      </c>
      <c r="Q201" s="357">
        <f t="shared" si="70"/>
        <v>432371</v>
      </c>
      <c r="R201" s="358">
        <f t="shared" si="70"/>
        <v>180.2</v>
      </c>
      <c r="S201" s="357">
        <f t="shared" si="70"/>
        <v>386628</v>
      </c>
      <c r="T201" s="358">
        <f t="shared" si="70"/>
        <v>161.09999999999997</v>
      </c>
      <c r="U201" s="357">
        <f t="shared" si="70"/>
        <v>219544</v>
      </c>
      <c r="V201" s="358">
        <f t="shared" si="70"/>
        <v>68.699999999999989</v>
      </c>
      <c r="W201" s="357">
        <f t="shared" si="70"/>
        <v>691458</v>
      </c>
      <c r="X201" s="358">
        <f t="shared" si="70"/>
        <v>192.00000000000003</v>
      </c>
      <c r="Y201" s="357">
        <f t="shared" si="70"/>
        <v>232685</v>
      </c>
      <c r="Z201" s="358">
        <f t="shared" si="70"/>
        <v>96.899999999999977</v>
      </c>
    </row>
    <row r="202" spans="1:26" s="216" customFormat="1" x14ac:dyDescent="0.2">
      <c r="A202" s="699"/>
      <c r="B202" s="364" t="s">
        <v>491</v>
      </c>
      <c r="C202" s="353"/>
      <c r="D202" s="354"/>
      <c r="E202" s="380"/>
      <c r="F202" s="354"/>
      <c r="G202" s="289" t="s">
        <v>372</v>
      </c>
      <c r="H202" s="291" t="s">
        <v>397</v>
      </c>
      <c r="I202" s="289" t="s">
        <v>372</v>
      </c>
      <c r="J202" s="291" t="s">
        <v>397</v>
      </c>
      <c r="K202" s="289" t="s">
        <v>372</v>
      </c>
      <c r="L202" s="291" t="s">
        <v>397</v>
      </c>
      <c r="M202" s="289" t="s">
        <v>372</v>
      </c>
      <c r="N202" s="291" t="s">
        <v>397</v>
      </c>
      <c r="O202" s="289" t="s">
        <v>372</v>
      </c>
      <c r="P202" s="291" t="s">
        <v>397</v>
      </c>
      <c r="Q202" s="289" t="s">
        <v>372</v>
      </c>
      <c r="R202" s="291" t="s">
        <v>397</v>
      </c>
      <c r="S202" s="289" t="s">
        <v>372</v>
      </c>
      <c r="T202" s="291" t="s">
        <v>397</v>
      </c>
      <c r="U202" s="289" t="s">
        <v>372</v>
      </c>
      <c r="V202" s="291" t="s">
        <v>397</v>
      </c>
      <c r="W202" s="289" t="s">
        <v>372</v>
      </c>
      <c r="X202" s="291" t="s">
        <v>397</v>
      </c>
      <c r="Y202" s="289" t="s">
        <v>372</v>
      </c>
      <c r="Z202" s="291" t="s">
        <v>397</v>
      </c>
    </row>
    <row r="203" spans="1:26" x14ac:dyDescent="0.2">
      <c r="A203" s="699"/>
      <c r="B203" s="205" t="s">
        <v>373</v>
      </c>
      <c r="C203" s="355"/>
      <c r="D203" s="356"/>
      <c r="E203" s="355"/>
      <c r="F203" s="356"/>
      <c r="G203" s="230">
        <f t="shared" ref="G203:Z203" si="71">G192-G139-G164</f>
        <v>3942</v>
      </c>
      <c r="H203" s="293">
        <f t="shared" si="71"/>
        <v>13.099999999999994</v>
      </c>
      <c r="I203" s="230">
        <f t="shared" si="71"/>
        <v>41900</v>
      </c>
      <c r="J203" s="293">
        <f t="shared" si="71"/>
        <v>11.699999999999989</v>
      </c>
      <c r="K203" s="230">
        <f t="shared" si="71"/>
        <v>36606</v>
      </c>
      <c r="L203" s="293">
        <f t="shared" si="71"/>
        <v>15.200000000000003</v>
      </c>
      <c r="M203" s="230">
        <f t="shared" si="71"/>
        <v>72541</v>
      </c>
      <c r="N203" s="293">
        <f t="shared" si="71"/>
        <v>20.200000000000003</v>
      </c>
      <c r="O203" s="230">
        <f t="shared" si="71"/>
        <v>220588</v>
      </c>
      <c r="P203" s="293">
        <f t="shared" si="71"/>
        <v>61.200000000000017</v>
      </c>
      <c r="Q203" s="230">
        <f t="shared" si="71"/>
        <v>76338</v>
      </c>
      <c r="R203" s="293">
        <f t="shared" si="71"/>
        <v>31.799999999999997</v>
      </c>
      <c r="S203" s="230">
        <f t="shared" si="71"/>
        <v>98978</v>
      </c>
      <c r="T203" s="293">
        <f t="shared" si="71"/>
        <v>41.2</v>
      </c>
      <c r="U203" s="230">
        <f t="shared" si="71"/>
        <v>16496</v>
      </c>
      <c r="V203" s="293">
        <f t="shared" si="71"/>
        <v>5.2000000000000171</v>
      </c>
      <c r="W203" s="230">
        <f t="shared" si="71"/>
        <v>163103</v>
      </c>
      <c r="X203" s="293">
        <f t="shared" si="71"/>
        <v>45.3</v>
      </c>
      <c r="Y203" s="230">
        <f t="shared" si="71"/>
        <v>61147</v>
      </c>
      <c r="Z203" s="293">
        <f t="shared" si="71"/>
        <v>25.400000000000006</v>
      </c>
    </row>
    <row r="204" spans="1:26" x14ac:dyDescent="0.2">
      <c r="A204" s="699"/>
      <c r="B204" s="205" t="s">
        <v>374</v>
      </c>
      <c r="C204" s="355"/>
      <c r="D204" s="356"/>
      <c r="E204" s="355"/>
      <c r="F204" s="356"/>
      <c r="G204" s="230">
        <f t="shared" ref="G204:Z204" si="72">G193-G140-G165</f>
        <v>1578</v>
      </c>
      <c r="H204" s="293">
        <f t="shared" si="72"/>
        <v>5.1999999999999993</v>
      </c>
      <c r="I204" s="230">
        <f t="shared" si="72"/>
        <v>18207</v>
      </c>
      <c r="J204" s="293">
        <f t="shared" si="72"/>
        <v>5</v>
      </c>
      <c r="K204" s="230">
        <f t="shared" si="72"/>
        <v>15524</v>
      </c>
      <c r="L204" s="293">
        <f t="shared" si="72"/>
        <v>6.5</v>
      </c>
      <c r="M204" s="230">
        <f t="shared" si="72"/>
        <v>24041</v>
      </c>
      <c r="N204" s="293">
        <f t="shared" si="72"/>
        <v>6.6999999999999957</v>
      </c>
      <c r="O204" s="230">
        <f t="shared" si="72"/>
        <v>59638</v>
      </c>
      <c r="P204" s="293">
        <f t="shared" si="72"/>
        <v>16.59999999999998</v>
      </c>
      <c r="Q204" s="230">
        <f t="shared" si="72"/>
        <v>36943</v>
      </c>
      <c r="R204" s="293">
        <f t="shared" si="72"/>
        <v>15.400000000000006</v>
      </c>
      <c r="S204" s="230">
        <f t="shared" si="72"/>
        <v>23125</v>
      </c>
      <c r="T204" s="293">
        <f t="shared" si="72"/>
        <v>9.6999999999999957</v>
      </c>
      <c r="U204" s="230">
        <f t="shared" si="72"/>
        <v>35317</v>
      </c>
      <c r="V204" s="293">
        <f t="shared" si="72"/>
        <v>11.100000000000001</v>
      </c>
      <c r="W204" s="230">
        <f t="shared" si="72"/>
        <v>42021</v>
      </c>
      <c r="X204" s="293">
        <f t="shared" si="72"/>
        <v>11.599999999999994</v>
      </c>
      <c r="Y204" s="230">
        <f t="shared" si="72"/>
        <v>12900</v>
      </c>
      <c r="Z204" s="293">
        <f t="shared" si="72"/>
        <v>5.4000000000000021</v>
      </c>
    </row>
    <row r="205" spans="1:26" x14ac:dyDescent="0.2">
      <c r="A205" s="699"/>
      <c r="B205" s="205" t="s">
        <v>375</v>
      </c>
      <c r="C205" s="355"/>
      <c r="D205" s="356"/>
      <c r="E205" s="355"/>
      <c r="F205" s="356"/>
      <c r="G205" s="230">
        <f t="shared" ref="G205:Z205" si="73">G194-G141-G166</f>
        <v>0</v>
      </c>
      <c r="H205" s="293">
        <f t="shared" si="73"/>
        <v>0</v>
      </c>
      <c r="I205" s="230">
        <f t="shared" si="73"/>
        <v>0</v>
      </c>
      <c r="J205" s="293">
        <f t="shared" si="73"/>
        <v>0</v>
      </c>
      <c r="K205" s="230">
        <f t="shared" si="73"/>
        <v>0</v>
      </c>
      <c r="L205" s="293">
        <f t="shared" si="73"/>
        <v>0</v>
      </c>
      <c r="M205" s="230">
        <f t="shared" si="73"/>
        <v>0</v>
      </c>
      <c r="N205" s="293">
        <f t="shared" si="73"/>
        <v>0</v>
      </c>
      <c r="O205" s="230">
        <f t="shared" si="73"/>
        <v>0</v>
      </c>
      <c r="P205" s="293">
        <f t="shared" si="73"/>
        <v>0</v>
      </c>
      <c r="Q205" s="230">
        <f t="shared" si="73"/>
        <v>0</v>
      </c>
      <c r="R205" s="293">
        <f t="shared" si="73"/>
        <v>0</v>
      </c>
      <c r="S205" s="230">
        <f t="shared" si="73"/>
        <v>0</v>
      </c>
      <c r="T205" s="293">
        <f t="shared" si="73"/>
        <v>0</v>
      </c>
      <c r="U205" s="230">
        <f t="shared" si="73"/>
        <v>0</v>
      </c>
      <c r="V205" s="293">
        <f t="shared" si="73"/>
        <v>0</v>
      </c>
      <c r="W205" s="230">
        <f t="shared" si="73"/>
        <v>0</v>
      </c>
      <c r="X205" s="293">
        <f t="shared" si="73"/>
        <v>0</v>
      </c>
      <c r="Y205" s="230">
        <f t="shared" si="73"/>
        <v>0</v>
      </c>
      <c r="Z205" s="293">
        <f t="shared" si="73"/>
        <v>0</v>
      </c>
    </row>
    <row r="206" spans="1:26" x14ac:dyDescent="0.2">
      <c r="A206" s="699"/>
      <c r="B206" s="205" t="s">
        <v>376</v>
      </c>
      <c r="C206" s="355"/>
      <c r="D206" s="356"/>
      <c r="E206" s="355"/>
      <c r="F206" s="356"/>
      <c r="G206" s="230">
        <f t="shared" ref="G206:Z206" si="74">G195-G142-G167</f>
        <v>4502</v>
      </c>
      <c r="H206" s="293">
        <f t="shared" si="74"/>
        <v>15</v>
      </c>
      <c r="I206" s="230">
        <f t="shared" si="74"/>
        <v>45788</v>
      </c>
      <c r="J206" s="293">
        <f t="shared" si="74"/>
        <v>12.8</v>
      </c>
      <c r="K206" s="230">
        <f t="shared" si="74"/>
        <v>39566</v>
      </c>
      <c r="L206" s="293">
        <f t="shared" si="74"/>
        <v>16.5</v>
      </c>
      <c r="M206" s="230">
        <f t="shared" si="74"/>
        <v>65196</v>
      </c>
      <c r="N206" s="293">
        <f t="shared" si="74"/>
        <v>18.100000000000001</v>
      </c>
      <c r="O206" s="230">
        <f t="shared" si="74"/>
        <v>142601</v>
      </c>
      <c r="P206" s="293">
        <f t="shared" si="74"/>
        <v>39.599999999999994</v>
      </c>
      <c r="Q206" s="230">
        <f t="shared" si="74"/>
        <v>90482</v>
      </c>
      <c r="R206" s="293">
        <f t="shared" si="74"/>
        <v>37.700000000000003</v>
      </c>
      <c r="S206" s="230">
        <f t="shared" si="74"/>
        <v>63895</v>
      </c>
      <c r="T206" s="293">
        <f t="shared" si="74"/>
        <v>26.700000000000003</v>
      </c>
      <c r="U206" s="230">
        <f t="shared" si="74"/>
        <v>46444</v>
      </c>
      <c r="V206" s="293">
        <f t="shared" si="74"/>
        <v>14.5</v>
      </c>
      <c r="W206" s="230">
        <f t="shared" si="74"/>
        <v>117871</v>
      </c>
      <c r="X206" s="293">
        <f t="shared" si="74"/>
        <v>32.799999999999997</v>
      </c>
      <c r="Y206" s="230">
        <f t="shared" si="74"/>
        <v>39150</v>
      </c>
      <c r="Z206" s="293">
        <f t="shared" si="74"/>
        <v>16.3</v>
      </c>
    </row>
    <row r="207" spans="1:26" x14ac:dyDescent="0.2">
      <c r="A207" s="699"/>
      <c r="B207" s="205" t="s">
        <v>377</v>
      </c>
      <c r="C207" s="355"/>
      <c r="D207" s="356"/>
      <c r="E207" s="355"/>
      <c r="F207" s="356"/>
      <c r="G207" s="230">
        <f t="shared" ref="G207:Z207" si="75">G196-G143-G168</f>
        <v>53</v>
      </c>
      <c r="H207" s="293">
        <f t="shared" si="75"/>
        <v>9.9999999999999867E-2</v>
      </c>
      <c r="I207" s="230">
        <f t="shared" si="75"/>
        <v>305</v>
      </c>
      <c r="J207" s="293">
        <f t="shared" si="75"/>
        <v>0</v>
      </c>
      <c r="K207" s="230">
        <f t="shared" si="75"/>
        <v>397</v>
      </c>
      <c r="L207" s="293">
        <f t="shared" si="75"/>
        <v>0.29999999999999982</v>
      </c>
      <c r="M207" s="230">
        <f t="shared" si="75"/>
        <v>417</v>
      </c>
      <c r="N207" s="293">
        <f t="shared" si="75"/>
        <v>0.10000000000000009</v>
      </c>
      <c r="O207" s="230">
        <f t="shared" si="75"/>
        <v>709</v>
      </c>
      <c r="P207" s="293">
        <f t="shared" si="75"/>
        <v>0.20000000000000018</v>
      </c>
      <c r="Q207" s="230">
        <f t="shared" si="75"/>
        <v>701</v>
      </c>
      <c r="R207" s="293">
        <f t="shared" si="75"/>
        <v>0.30000000000000016</v>
      </c>
      <c r="S207" s="230">
        <f t="shared" si="75"/>
        <v>5453</v>
      </c>
      <c r="T207" s="293">
        <f t="shared" si="75"/>
        <v>2.2999999999999998</v>
      </c>
      <c r="U207" s="230">
        <f t="shared" si="75"/>
        <v>599</v>
      </c>
      <c r="V207" s="293">
        <f t="shared" si="75"/>
        <v>0.20000000000000018</v>
      </c>
      <c r="W207" s="230">
        <f t="shared" si="75"/>
        <v>1270</v>
      </c>
      <c r="X207" s="293">
        <f t="shared" si="75"/>
        <v>0.40000000000000036</v>
      </c>
      <c r="Y207" s="230">
        <f t="shared" si="75"/>
        <v>172</v>
      </c>
      <c r="Z207" s="293">
        <f t="shared" si="75"/>
        <v>9.9999999999999645E-2</v>
      </c>
    </row>
    <row r="208" spans="1:26" x14ac:dyDescent="0.2">
      <c r="A208" s="699"/>
      <c r="B208" s="205" t="s">
        <v>378</v>
      </c>
      <c r="C208" s="355"/>
      <c r="D208" s="356"/>
      <c r="E208" s="355"/>
      <c r="F208" s="356"/>
      <c r="G208" s="230">
        <f t="shared" ref="G208:Z208" si="76">G197-G144-G169</f>
        <v>0</v>
      </c>
      <c r="H208" s="293">
        <f t="shared" si="76"/>
        <v>0</v>
      </c>
      <c r="I208" s="230">
        <f t="shared" si="76"/>
        <v>0</v>
      </c>
      <c r="J208" s="293">
        <f t="shared" si="76"/>
        <v>0</v>
      </c>
      <c r="K208" s="230">
        <f t="shared" si="76"/>
        <v>0</v>
      </c>
      <c r="L208" s="293">
        <f t="shared" si="76"/>
        <v>0</v>
      </c>
      <c r="M208" s="230">
        <f t="shared" si="76"/>
        <v>0</v>
      </c>
      <c r="N208" s="293">
        <f t="shared" si="76"/>
        <v>0</v>
      </c>
      <c r="O208" s="230">
        <f t="shared" si="76"/>
        <v>0</v>
      </c>
      <c r="P208" s="293">
        <f t="shared" si="76"/>
        <v>0</v>
      </c>
      <c r="Q208" s="230">
        <f t="shared" si="76"/>
        <v>0</v>
      </c>
      <c r="R208" s="293">
        <f t="shared" si="76"/>
        <v>0</v>
      </c>
      <c r="S208" s="230">
        <f t="shared" si="76"/>
        <v>0</v>
      </c>
      <c r="T208" s="293">
        <f t="shared" si="76"/>
        <v>0</v>
      </c>
      <c r="U208" s="230">
        <f t="shared" si="76"/>
        <v>0</v>
      </c>
      <c r="V208" s="293">
        <f t="shared" si="76"/>
        <v>0</v>
      </c>
      <c r="W208" s="230">
        <f t="shared" si="76"/>
        <v>0</v>
      </c>
      <c r="X208" s="293">
        <f t="shared" si="76"/>
        <v>0</v>
      </c>
      <c r="Y208" s="230">
        <f t="shared" si="76"/>
        <v>0</v>
      </c>
      <c r="Z208" s="293">
        <f t="shared" si="76"/>
        <v>0</v>
      </c>
    </row>
    <row r="209" spans="1:26" x14ac:dyDescent="0.2">
      <c r="A209" s="699"/>
      <c r="B209" s="205" t="s">
        <v>379</v>
      </c>
      <c r="C209" s="355"/>
      <c r="D209" s="356"/>
      <c r="E209" s="355"/>
      <c r="F209" s="356"/>
      <c r="G209" s="230">
        <f t="shared" ref="G209:Z209" si="77">G198-G145-G170</f>
        <v>0</v>
      </c>
      <c r="H209" s="293">
        <f t="shared" si="77"/>
        <v>0</v>
      </c>
      <c r="I209" s="230">
        <f t="shared" si="77"/>
        <v>0</v>
      </c>
      <c r="J209" s="293">
        <f t="shared" si="77"/>
        <v>0</v>
      </c>
      <c r="K209" s="230">
        <f t="shared" si="77"/>
        <v>0</v>
      </c>
      <c r="L209" s="293">
        <f t="shared" si="77"/>
        <v>0</v>
      </c>
      <c r="M209" s="230">
        <f t="shared" si="77"/>
        <v>0</v>
      </c>
      <c r="N209" s="293">
        <f t="shared" si="77"/>
        <v>0</v>
      </c>
      <c r="O209" s="230">
        <f t="shared" si="77"/>
        <v>0</v>
      </c>
      <c r="P209" s="293">
        <f t="shared" si="77"/>
        <v>0</v>
      </c>
      <c r="Q209" s="230">
        <f t="shared" si="77"/>
        <v>0</v>
      </c>
      <c r="R209" s="293">
        <f t="shared" si="77"/>
        <v>0</v>
      </c>
      <c r="S209" s="230">
        <f t="shared" si="77"/>
        <v>0</v>
      </c>
      <c r="T209" s="293">
        <f t="shared" si="77"/>
        <v>0</v>
      </c>
      <c r="U209" s="230">
        <f t="shared" si="77"/>
        <v>0</v>
      </c>
      <c r="V209" s="293">
        <f t="shared" si="77"/>
        <v>0</v>
      </c>
      <c r="W209" s="230">
        <f t="shared" si="77"/>
        <v>0</v>
      </c>
      <c r="X209" s="293">
        <f t="shared" si="77"/>
        <v>0</v>
      </c>
      <c r="Y209" s="230">
        <f t="shared" si="77"/>
        <v>0</v>
      </c>
      <c r="Z209" s="293">
        <f t="shared" si="77"/>
        <v>0</v>
      </c>
    </row>
    <row r="210" spans="1:26" x14ac:dyDescent="0.2">
      <c r="A210" s="699"/>
      <c r="B210" s="205" t="s">
        <v>380</v>
      </c>
      <c r="C210" s="355"/>
      <c r="D210" s="356"/>
      <c r="E210" s="355"/>
      <c r="F210" s="356"/>
      <c r="G210" s="230">
        <f t="shared" ref="G210:Z210" si="78">G199-G146-G171</f>
        <v>0</v>
      </c>
      <c r="H210" s="293">
        <f t="shared" si="78"/>
        <v>0</v>
      </c>
      <c r="I210" s="230">
        <f t="shared" si="78"/>
        <v>0</v>
      </c>
      <c r="J210" s="293">
        <f t="shared" si="78"/>
        <v>0</v>
      </c>
      <c r="K210" s="230">
        <f t="shared" si="78"/>
        <v>0</v>
      </c>
      <c r="L210" s="293">
        <f t="shared" si="78"/>
        <v>0</v>
      </c>
      <c r="M210" s="230">
        <f t="shared" si="78"/>
        <v>0</v>
      </c>
      <c r="N210" s="293">
        <f t="shared" si="78"/>
        <v>0</v>
      </c>
      <c r="O210" s="230">
        <f t="shared" si="78"/>
        <v>0</v>
      </c>
      <c r="P210" s="293">
        <f t="shared" si="78"/>
        <v>0</v>
      </c>
      <c r="Q210" s="230">
        <f t="shared" si="78"/>
        <v>0</v>
      </c>
      <c r="R210" s="293">
        <f t="shared" si="78"/>
        <v>0</v>
      </c>
      <c r="S210" s="230">
        <f t="shared" si="78"/>
        <v>0</v>
      </c>
      <c r="T210" s="293">
        <f t="shared" si="78"/>
        <v>0</v>
      </c>
      <c r="U210" s="230">
        <f t="shared" si="78"/>
        <v>0</v>
      </c>
      <c r="V210" s="293">
        <f t="shared" si="78"/>
        <v>0</v>
      </c>
      <c r="W210" s="230">
        <f t="shared" si="78"/>
        <v>0</v>
      </c>
      <c r="X210" s="293">
        <f t="shared" si="78"/>
        <v>0</v>
      </c>
      <c r="Y210" s="230">
        <f t="shared" si="78"/>
        <v>0</v>
      </c>
      <c r="Z210" s="293">
        <f t="shared" si="78"/>
        <v>0</v>
      </c>
    </row>
    <row r="211" spans="1:26" x14ac:dyDescent="0.2">
      <c r="A211" s="699"/>
      <c r="B211" s="205" t="s">
        <v>381</v>
      </c>
      <c r="C211" s="355"/>
      <c r="D211" s="356"/>
      <c r="E211" s="355"/>
      <c r="F211" s="356"/>
      <c r="G211" s="230">
        <f t="shared" ref="G211:Z211" si="79">G200-G147-G172</f>
        <v>0</v>
      </c>
      <c r="H211" s="293">
        <f t="shared" si="79"/>
        <v>0</v>
      </c>
      <c r="I211" s="230">
        <f t="shared" si="79"/>
        <v>28093</v>
      </c>
      <c r="J211" s="293">
        <f t="shared" si="79"/>
        <v>7.8000000000000007</v>
      </c>
      <c r="K211" s="230">
        <f t="shared" si="79"/>
        <v>0</v>
      </c>
      <c r="L211" s="293">
        <f t="shared" si="79"/>
        <v>0</v>
      </c>
      <c r="M211" s="230">
        <f t="shared" si="79"/>
        <v>40424</v>
      </c>
      <c r="N211" s="293">
        <f t="shared" si="79"/>
        <v>11.200000000000001</v>
      </c>
      <c r="O211" s="230">
        <f t="shared" si="79"/>
        <v>77312</v>
      </c>
      <c r="P211" s="293">
        <f t="shared" si="79"/>
        <v>21.5</v>
      </c>
      <c r="Q211" s="230">
        <f t="shared" si="79"/>
        <v>0</v>
      </c>
      <c r="R211" s="293">
        <f t="shared" si="79"/>
        <v>0</v>
      </c>
      <c r="S211" s="230">
        <f t="shared" si="79"/>
        <v>41376</v>
      </c>
      <c r="T211" s="293">
        <f t="shared" si="79"/>
        <v>17.199999999999996</v>
      </c>
      <c r="U211" s="230">
        <f t="shared" si="79"/>
        <v>0</v>
      </c>
      <c r="V211" s="293">
        <f t="shared" si="79"/>
        <v>0</v>
      </c>
      <c r="W211" s="230">
        <f t="shared" si="79"/>
        <v>76868</v>
      </c>
      <c r="X211" s="293">
        <f t="shared" si="79"/>
        <v>21.4</v>
      </c>
      <c r="Y211" s="230">
        <f t="shared" si="79"/>
        <v>29224</v>
      </c>
      <c r="Z211" s="293">
        <f t="shared" si="79"/>
        <v>12.2</v>
      </c>
    </row>
    <row r="212" spans="1:26" s="20" customFormat="1" x14ac:dyDescent="0.2">
      <c r="A212" s="700"/>
      <c r="B212" s="284" t="s">
        <v>382</v>
      </c>
      <c r="C212" s="357"/>
      <c r="D212" s="358"/>
      <c r="E212" s="357"/>
      <c r="F212" s="358"/>
      <c r="G212" s="275">
        <f t="shared" ref="G212:Z212" si="80">G201-G148-G173</f>
        <v>10077</v>
      </c>
      <c r="H212" s="294">
        <f t="shared" si="80"/>
        <v>33.599999999999994</v>
      </c>
      <c r="I212" s="275">
        <f t="shared" si="80"/>
        <v>134293</v>
      </c>
      <c r="J212" s="294">
        <f t="shared" si="80"/>
        <v>37.300000000000011</v>
      </c>
      <c r="K212" s="275">
        <f t="shared" si="80"/>
        <v>92092</v>
      </c>
      <c r="L212" s="294">
        <f t="shared" si="80"/>
        <v>38.400000000000006</v>
      </c>
      <c r="M212" s="275">
        <f t="shared" si="80"/>
        <v>202620</v>
      </c>
      <c r="N212" s="294">
        <f t="shared" si="80"/>
        <v>56.399999999999977</v>
      </c>
      <c r="O212" s="275">
        <f t="shared" si="80"/>
        <v>500847</v>
      </c>
      <c r="P212" s="294">
        <f t="shared" si="80"/>
        <v>139.09999999999991</v>
      </c>
      <c r="Q212" s="275">
        <f t="shared" si="80"/>
        <v>204465</v>
      </c>
      <c r="R212" s="294">
        <f t="shared" si="80"/>
        <v>85.200000000000045</v>
      </c>
      <c r="S212" s="275">
        <f t="shared" si="80"/>
        <v>232826</v>
      </c>
      <c r="T212" s="294">
        <f t="shared" si="80"/>
        <v>97</v>
      </c>
      <c r="U212" s="275">
        <f t="shared" si="80"/>
        <v>98854</v>
      </c>
      <c r="V212" s="294">
        <f t="shared" si="80"/>
        <v>30.900000000000034</v>
      </c>
      <c r="W212" s="275">
        <f t="shared" si="80"/>
        <v>401135</v>
      </c>
      <c r="X212" s="294">
        <f t="shared" si="80"/>
        <v>111.39999999999995</v>
      </c>
      <c r="Y212" s="275">
        <f t="shared" si="80"/>
        <v>142591</v>
      </c>
      <c r="Z212" s="294">
        <f t="shared" si="80"/>
        <v>59.399999999999977</v>
      </c>
    </row>
    <row r="213" spans="1:26" x14ac:dyDescent="0.2">
      <c r="A213" s="201"/>
      <c r="B213" s="201"/>
      <c r="D213" s="270"/>
    </row>
    <row r="214" spans="1:26" s="202" customFormat="1" ht="13.15" customHeight="1" x14ac:dyDescent="0.2">
      <c r="A214" s="698" t="s">
        <v>575</v>
      </c>
      <c r="B214" s="269" t="s">
        <v>488</v>
      </c>
      <c r="C214" s="304" t="s">
        <v>486</v>
      </c>
      <c r="D214" s="280" t="s">
        <v>487</v>
      </c>
      <c r="E214" s="304" t="s">
        <v>486</v>
      </c>
      <c r="F214" s="280" t="s">
        <v>487</v>
      </c>
      <c r="G214" s="304" t="s">
        <v>486</v>
      </c>
      <c r="H214" s="280" t="s">
        <v>487</v>
      </c>
      <c r="I214" s="304" t="s">
        <v>486</v>
      </c>
      <c r="J214" s="280" t="s">
        <v>487</v>
      </c>
      <c r="K214" s="304" t="s">
        <v>486</v>
      </c>
      <c r="L214" s="280" t="s">
        <v>487</v>
      </c>
      <c r="M214" s="304" t="s">
        <v>486</v>
      </c>
      <c r="N214" s="280" t="s">
        <v>487</v>
      </c>
      <c r="O214" s="304" t="s">
        <v>486</v>
      </c>
      <c r="P214" s="280" t="s">
        <v>487</v>
      </c>
      <c r="Q214" s="304" t="s">
        <v>486</v>
      </c>
      <c r="R214" s="280" t="s">
        <v>487</v>
      </c>
      <c r="S214" s="304" t="s">
        <v>486</v>
      </c>
      <c r="T214" s="280" t="s">
        <v>487</v>
      </c>
      <c r="U214" s="304" t="s">
        <v>486</v>
      </c>
      <c r="V214" s="280" t="s">
        <v>487</v>
      </c>
      <c r="W214" s="304" t="s">
        <v>486</v>
      </c>
      <c r="X214" s="280" t="s">
        <v>487</v>
      </c>
      <c r="Y214" s="304" t="s">
        <v>486</v>
      </c>
      <c r="Z214" s="314" t="s">
        <v>487</v>
      </c>
    </row>
    <row r="215" spans="1:26" x14ac:dyDescent="0.2">
      <c r="A215" s="699"/>
      <c r="B215" s="243" t="s">
        <v>576</v>
      </c>
      <c r="C215" s="78">
        <f>'6 Oversikt startpunkt'!B67</f>
        <v>22</v>
      </c>
      <c r="D215" s="78">
        <f>'6 Oversikt startpunkt'!B33</f>
        <v>19</v>
      </c>
      <c r="E215" s="398">
        <f>'6 Oversikt startpunkt'!C67</f>
        <v>22</v>
      </c>
      <c r="F215" s="78">
        <f>'6 Oversikt startpunkt'!C33</f>
        <v>19</v>
      </c>
      <c r="G215" s="398">
        <f>'6 Oversikt startpunkt'!D67</f>
        <v>22</v>
      </c>
      <c r="H215" s="78">
        <f>'6 Oversikt startpunkt'!D33</f>
        <v>19</v>
      </c>
      <c r="I215" s="398">
        <f>'6 Oversikt startpunkt'!E67</f>
        <v>22</v>
      </c>
      <c r="J215" s="78">
        <f>'6 Oversikt startpunkt'!E33</f>
        <v>19</v>
      </c>
      <c r="K215" s="398">
        <f>'6 Oversikt startpunkt'!F67</f>
        <v>22</v>
      </c>
      <c r="L215" s="78">
        <f>'6 Oversikt startpunkt'!F33</f>
        <v>19</v>
      </c>
      <c r="M215" s="398">
        <f>'6 Oversikt startpunkt'!G67</f>
        <v>22</v>
      </c>
      <c r="N215" s="78">
        <f>'6 Oversikt startpunkt'!G33</f>
        <v>19</v>
      </c>
      <c r="O215" s="398">
        <f>'6 Oversikt startpunkt'!H67</f>
        <v>22</v>
      </c>
      <c r="P215" s="78">
        <f>'6 Oversikt startpunkt'!H33</f>
        <v>19</v>
      </c>
      <c r="Q215" s="398">
        <f>'6 Oversikt startpunkt'!I67</f>
        <v>22</v>
      </c>
      <c r="R215" s="78">
        <f>'6 Oversikt startpunkt'!I33</f>
        <v>19</v>
      </c>
      <c r="S215" s="398">
        <f>'6 Oversikt startpunkt'!J67</f>
        <v>22</v>
      </c>
      <c r="T215" s="78">
        <f>'6 Oversikt startpunkt'!J33</f>
        <v>19</v>
      </c>
      <c r="U215" s="398">
        <f>'6 Oversikt startpunkt'!K67</f>
        <v>20</v>
      </c>
      <c r="V215" s="78">
        <f>'6 Oversikt startpunkt'!K33</f>
        <v>17</v>
      </c>
      <c r="W215" s="398">
        <f>'6 Oversikt startpunkt'!L67</f>
        <v>22</v>
      </c>
      <c r="X215" s="78">
        <f>'6 Oversikt startpunkt'!L33</f>
        <v>19</v>
      </c>
      <c r="Y215" s="398">
        <f>'6 Oversikt startpunkt'!M67</f>
        <v>22</v>
      </c>
      <c r="Z215" s="78">
        <f>'6 Oversikt startpunkt'!M33</f>
        <v>19</v>
      </c>
    </row>
    <row r="216" spans="1:26" s="216" customFormat="1" x14ac:dyDescent="0.2">
      <c r="A216" s="699"/>
      <c r="B216" s="288" t="s">
        <v>490</v>
      </c>
      <c r="C216" s="289" t="s">
        <v>372</v>
      </c>
      <c r="D216" s="290" t="s">
        <v>397</v>
      </c>
      <c r="E216" s="289" t="s">
        <v>372</v>
      </c>
      <c r="F216" s="291" t="s">
        <v>397</v>
      </c>
      <c r="G216" s="292" t="s">
        <v>372</v>
      </c>
      <c r="H216" s="290" t="s">
        <v>397</v>
      </c>
      <c r="I216" s="289" t="s">
        <v>372</v>
      </c>
      <c r="J216" s="291" t="s">
        <v>397</v>
      </c>
      <c r="K216" s="292" t="s">
        <v>372</v>
      </c>
      <c r="L216" s="290" t="s">
        <v>397</v>
      </c>
      <c r="M216" s="289" t="s">
        <v>372</v>
      </c>
      <c r="N216" s="290" t="s">
        <v>397</v>
      </c>
      <c r="O216" s="289" t="s">
        <v>372</v>
      </c>
      <c r="P216" s="290" t="s">
        <v>397</v>
      </c>
      <c r="Q216" s="289" t="s">
        <v>372</v>
      </c>
      <c r="R216" s="290" t="s">
        <v>397</v>
      </c>
      <c r="S216" s="289" t="s">
        <v>372</v>
      </c>
      <c r="T216" s="290" t="s">
        <v>397</v>
      </c>
      <c r="U216" s="289" t="s">
        <v>372</v>
      </c>
      <c r="V216" s="290" t="s">
        <v>397</v>
      </c>
      <c r="W216" s="289" t="s">
        <v>372</v>
      </c>
      <c r="X216" s="290" t="s">
        <v>397</v>
      </c>
      <c r="Y216" s="289" t="s">
        <v>372</v>
      </c>
      <c r="Z216" s="291" t="s">
        <v>397</v>
      </c>
    </row>
    <row r="217" spans="1:26" x14ac:dyDescent="0.2">
      <c r="A217" s="699"/>
      <c r="B217" s="272" t="s">
        <v>373</v>
      </c>
      <c r="C217" s="230">
        <v>28752</v>
      </c>
      <c r="D217" s="231">
        <v>179.7</v>
      </c>
      <c r="E217" s="230">
        <v>145930</v>
      </c>
      <c r="F217" s="273">
        <v>162.1</v>
      </c>
      <c r="G217" s="285">
        <v>43190</v>
      </c>
      <c r="H217" s="231">
        <v>144</v>
      </c>
      <c r="I217" s="230">
        <v>308792</v>
      </c>
      <c r="J217" s="273">
        <v>85.8</v>
      </c>
      <c r="K217" s="285">
        <v>248733</v>
      </c>
      <c r="L217" s="231">
        <v>103.6</v>
      </c>
      <c r="M217" s="230">
        <v>336958</v>
      </c>
      <c r="N217" s="231">
        <v>93.6</v>
      </c>
      <c r="O217" s="230">
        <v>517306</v>
      </c>
      <c r="P217" s="231">
        <v>143.69999999999999</v>
      </c>
      <c r="Q217" s="230">
        <v>249315</v>
      </c>
      <c r="R217" s="231">
        <v>103.9</v>
      </c>
      <c r="S217" s="230">
        <v>346413</v>
      </c>
      <c r="T217" s="231">
        <v>144.30000000000001</v>
      </c>
      <c r="U217" s="230">
        <v>579667</v>
      </c>
      <c r="V217" s="231">
        <v>181.1</v>
      </c>
      <c r="W217" s="230">
        <v>402183</v>
      </c>
      <c r="X217" s="231">
        <v>111.7</v>
      </c>
      <c r="Y217" s="230">
        <v>340156</v>
      </c>
      <c r="Z217" s="273">
        <v>141.69999999999999</v>
      </c>
    </row>
    <row r="218" spans="1:26" x14ac:dyDescent="0.2">
      <c r="A218" s="699"/>
      <c r="B218" s="272" t="s">
        <v>374</v>
      </c>
      <c r="C218" s="230">
        <v>0</v>
      </c>
      <c r="D218" s="231">
        <v>0</v>
      </c>
      <c r="E218" s="230">
        <v>0</v>
      </c>
      <c r="F218" s="273">
        <v>0</v>
      </c>
      <c r="G218" s="285">
        <v>8905</v>
      </c>
      <c r="H218" s="231">
        <v>29.7</v>
      </c>
      <c r="I218" s="230">
        <v>106669</v>
      </c>
      <c r="J218" s="273">
        <v>29.6</v>
      </c>
      <c r="K218" s="285">
        <v>89507</v>
      </c>
      <c r="L218" s="231">
        <v>37.299999999999997</v>
      </c>
      <c r="M218" s="230">
        <v>138792</v>
      </c>
      <c r="N218" s="231">
        <v>38.6</v>
      </c>
      <c r="O218" s="230">
        <v>355421</v>
      </c>
      <c r="P218" s="231">
        <v>98.7</v>
      </c>
      <c r="Q218" s="230">
        <v>214876</v>
      </c>
      <c r="R218" s="231">
        <v>89.5</v>
      </c>
      <c r="S218" s="230">
        <v>131401</v>
      </c>
      <c r="T218" s="231">
        <v>54.8</v>
      </c>
      <c r="U218" s="230">
        <v>139748</v>
      </c>
      <c r="V218" s="231">
        <v>43.7</v>
      </c>
      <c r="W218" s="230">
        <v>243047</v>
      </c>
      <c r="X218" s="231">
        <v>67.5</v>
      </c>
      <c r="Y218" s="230">
        <v>74963</v>
      </c>
      <c r="Z218" s="273">
        <v>31.2</v>
      </c>
    </row>
    <row r="219" spans="1:26" x14ac:dyDescent="0.2">
      <c r="A219" s="699"/>
      <c r="B219" s="272" t="s">
        <v>375</v>
      </c>
      <c r="C219" s="230">
        <v>4765</v>
      </c>
      <c r="D219" s="231">
        <v>29.8</v>
      </c>
      <c r="E219" s="230">
        <v>26792</v>
      </c>
      <c r="F219" s="273">
        <v>29.8</v>
      </c>
      <c r="G219" s="285">
        <v>3007</v>
      </c>
      <c r="H219" s="231">
        <v>10</v>
      </c>
      <c r="I219" s="230">
        <v>18040</v>
      </c>
      <c r="J219" s="273">
        <v>5</v>
      </c>
      <c r="K219" s="285">
        <v>23530</v>
      </c>
      <c r="L219" s="231">
        <v>9.8000000000000007</v>
      </c>
      <c r="M219" s="230">
        <v>18040</v>
      </c>
      <c r="N219" s="231">
        <v>5</v>
      </c>
      <c r="O219" s="230">
        <v>107170</v>
      </c>
      <c r="P219" s="231">
        <v>29.8</v>
      </c>
      <c r="Q219" s="230">
        <v>71482</v>
      </c>
      <c r="R219" s="231">
        <v>29.8</v>
      </c>
      <c r="S219" s="230">
        <v>71482</v>
      </c>
      <c r="T219" s="231">
        <v>29.8</v>
      </c>
      <c r="U219" s="230">
        <v>156864</v>
      </c>
      <c r="V219" s="231">
        <v>49</v>
      </c>
      <c r="W219" s="230">
        <v>36408</v>
      </c>
      <c r="X219" s="231">
        <v>10.1</v>
      </c>
      <c r="Y219" s="230">
        <v>24054</v>
      </c>
      <c r="Z219" s="273">
        <v>10</v>
      </c>
    </row>
    <row r="220" spans="1:26" x14ac:dyDescent="0.2">
      <c r="A220" s="699"/>
      <c r="B220" s="272" t="s">
        <v>376</v>
      </c>
      <c r="C220" s="230">
        <v>0</v>
      </c>
      <c r="D220" s="231">
        <v>0</v>
      </c>
      <c r="E220" s="230">
        <v>0</v>
      </c>
      <c r="F220" s="273">
        <v>0</v>
      </c>
      <c r="G220" s="285">
        <v>10505</v>
      </c>
      <c r="H220" s="231">
        <v>35</v>
      </c>
      <c r="I220" s="230">
        <v>123343</v>
      </c>
      <c r="J220" s="273">
        <v>34.299999999999997</v>
      </c>
      <c r="K220" s="285">
        <v>92310</v>
      </c>
      <c r="L220" s="231">
        <v>38.5</v>
      </c>
      <c r="M220" s="230">
        <v>160332</v>
      </c>
      <c r="N220" s="231">
        <v>44.5</v>
      </c>
      <c r="O220" s="230">
        <v>369461</v>
      </c>
      <c r="P220" s="231">
        <v>102.6</v>
      </c>
      <c r="Q220" s="230">
        <v>216212</v>
      </c>
      <c r="R220" s="231">
        <v>90.1</v>
      </c>
      <c r="S220" s="230">
        <v>149037</v>
      </c>
      <c r="T220" s="231">
        <v>62.1</v>
      </c>
      <c r="U220" s="230">
        <v>108368</v>
      </c>
      <c r="V220" s="231">
        <v>33.9</v>
      </c>
      <c r="W220" s="230">
        <v>294892</v>
      </c>
      <c r="X220" s="231">
        <v>81.900000000000006</v>
      </c>
      <c r="Y220" s="230">
        <v>91350</v>
      </c>
      <c r="Z220" s="273">
        <v>38.1</v>
      </c>
    </row>
    <row r="221" spans="1:26" x14ac:dyDescent="0.2">
      <c r="A221" s="699"/>
      <c r="B221" s="272" t="s">
        <v>377</v>
      </c>
      <c r="C221" s="230">
        <v>231</v>
      </c>
      <c r="D221" s="231">
        <v>1.4</v>
      </c>
      <c r="E221" s="230">
        <v>1043</v>
      </c>
      <c r="F221" s="273">
        <v>1.2</v>
      </c>
      <c r="G221" s="285">
        <v>662</v>
      </c>
      <c r="H221" s="231">
        <v>2.2000000000000002</v>
      </c>
      <c r="I221" s="230">
        <v>12237</v>
      </c>
      <c r="J221" s="273">
        <v>3.4</v>
      </c>
      <c r="K221" s="285">
        <v>5321</v>
      </c>
      <c r="L221" s="231">
        <v>2.2000000000000002</v>
      </c>
      <c r="M221" s="230">
        <v>14190</v>
      </c>
      <c r="N221" s="231">
        <v>3.9</v>
      </c>
      <c r="O221" s="230">
        <v>17620</v>
      </c>
      <c r="P221" s="231">
        <v>4.9000000000000004</v>
      </c>
      <c r="Q221" s="230">
        <v>4288</v>
      </c>
      <c r="R221" s="231">
        <v>1.8</v>
      </c>
      <c r="S221" s="230">
        <v>13919</v>
      </c>
      <c r="T221" s="231">
        <v>5.8</v>
      </c>
      <c r="U221" s="230">
        <v>7234</v>
      </c>
      <c r="V221" s="231">
        <v>2.2999999999999998</v>
      </c>
      <c r="W221" s="230">
        <v>19441</v>
      </c>
      <c r="X221" s="231">
        <v>5.4</v>
      </c>
      <c r="Y221" s="230">
        <v>9311</v>
      </c>
      <c r="Z221" s="273">
        <v>3.9</v>
      </c>
    </row>
    <row r="222" spans="1:26" x14ac:dyDescent="0.2">
      <c r="A222" s="699"/>
      <c r="B222" s="272" t="s">
        <v>378</v>
      </c>
      <c r="C222" s="230">
        <v>1993</v>
      </c>
      <c r="D222" s="231">
        <v>12.5</v>
      </c>
      <c r="E222" s="230">
        <v>11214</v>
      </c>
      <c r="F222" s="273">
        <v>12.5</v>
      </c>
      <c r="G222" s="285">
        <v>10805</v>
      </c>
      <c r="H222" s="231">
        <v>36</v>
      </c>
      <c r="I222" s="230">
        <v>152215</v>
      </c>
      <c r="J222" s="273">
        <v>42.3</v>
      </c>
      <c r="K222" s="285">
        <v>89010</v>
      </c>
      <c r="L222" s="231">
        <v>37.1</v>
      </c>
      <c r="M222" s="230">
        <v>152215</v>
      </c>
      <c r="N222" s="231">
        <v>42.3</v>
      </c>
      <c r="O222" s="230">
        <v>275951</v>
      </c>
      <c r="P222" s="231">
        <v>76.7</v>
      </c>
      <c r="Q222" s="230">
        <v>183960</v>
      </c>
      <c r="R222" s="231">
        <v>76.7</v>
      </c>
      <c r="S222" s="230">
        <v>183960</v>
      </c>
      <c r="T222" s="231">
        <v>76.7</v>
      </c>
      <c r="U222" s="230">
        <v>111456</v>
      </c>
      <c r="V222" s="231">
        <v>34.799999999999997</v>
      </c>
      <c r="W222" s="230">
        <v>341223</v>
      </c>
      <c r="X222" s="231">
        <v>94.8</v>
      </c>
      <c r="Y222" s="230">
        <v>93960</v>
      </c>
      <c r="Z222" s="273">
        <v>39.1</v>
      </c>
    </row>
    <row r="223" spans="1:26" x14ac:dyDescent="0.2">
      <c r="A223" s="699"/>
      <c r="B223" s="272" t="s">
        <v>379</v>
      </c>
      <c r="C223" s="230">
        <v>3066</v>
      </c>
      <c r="D223" s="231">
        <v>19.2</v>
      </c>
      <c r="E223" s="230">
        <v>17247</v>
      </c>
      <c r="F223" s="273">
        <v>19.2</v>
      </c>
      <c r="G223" s="285">
        <v>1801</v>
      </c>
      <c r="H223" s="231">
        <v>6</v>
      </c>
      <c r="I223" s="230">
        <v>139560</v>
      </c>
      <c r="J223" s="273">
        <v>38.799999999999997</v>
      </c>
      <c r="K223" s="285">
        <v>35604</v>
      </c>
      <c r="L223" s="231">
        <v>14.8</v>
      </c>
      <c r="M223" s="230">
        <v>139560</v>
      </c>
      <c r="N223" s="231">
        <v>38.799999999999997</v>
      </c>
      <c r="O223" s="230">
        <v>183960</v>
      </c>
      <c r="P223" s="231">
        <v>51.1</v>
      </c>
      <c r="Q223" s="230">
        <v>61320</v>
      </c>
      <c r="R223" s="231">
        <v>25.6</v>
      </c>
      <c r="S223" s="230">
        <v>15330</v>
      </c>
      <c r="T223" s="231">
        <v>6.4</v>
      </c>
      <c r="U223" s="230">
        <v>9288</v>
      </c>
      <c r="V223" s="231">
        <v>2.9</v>
      </c>
      <c r="W223" s="230">
        <v>15163</v>
      </c>
      <c r="X223" s="231">
        <v>4.2</v>
      </c>
      <c r="Y223" s="230">
        <v>7830</v>
      </c>
      <c r="Z223" s="273">
        <v>3.3</v>
      </c>
    </row>
    <row r="224" spans="1:26" x14ac:dyDescent="0.2">
      <c r="A224" s="699"/>
      <c r="B224" s="272" t="s">
        <v>380</v>
      </c>
      <c r="C224" s="230">
        <v>0</v>
      </c>
      <c r="D224" s="231">
        <v>0</v>
      </c>
      <c r="E224" s="235">
        <v>0</v>
      </c>
      <c r="F224" s="273">
        <v>0</v>
      </c>
      <c r="G224" s="285">
        <v>0</v>
      </c>
      <c r="H224" s="231">
        <v>0</v>
      </c>
      <c r="I224" s="230">
        <v>0</v>
      </c>
      <c r="J224" s="273">
        <v>0</v>
      </c>
      <c r="K224" s="285">
        <v>0</v>
      </c>
      <c r="L224" s="231">
        <v>0</v>
      </c>
      <c r="M224" s="230">
        <v>0</v>
      </c>
      <c r="N224" s="231">
        <v>0</v>
      </c>
      <c r="O224" s="230">
        <v>0</v>
      </c>
      <c r="P224" s="231">
        <v>0</v>
      </c>
      <c r="Q224" s="230">
        <v>0</v>
      </c>
      <c r="R224" s="231">
        <v>0</v>
      </c>
      <c r="S224" s="230">
        <v>0</v>
      </c>
      <c r="T224" s="231">
        <v>0</v>
      </c>
      <c r="U224" s="230">
        <v>0</v>
      </c>
      <c r="V224" s="231">
        <v>0</v>
      </c>
      <c r="W224" s="230">
        <v>0</v>
      </c>
      <c r="X224" s="231">
        <v>0</v>
      </c>
      <c r="Y224" s="230">
        <v>0</v>
      </c>
      <c r="Z224" s="273">
        <v>0</v>
      </c>
    </row>
    <row r="225" spans="1:26" x14ac:dyDescent="0.2">
      <c r="A225" s="699"/>
      <c r="B225" s="272" t="s">
        <v>381</v>
      </c>
      <c r="C225" s="230">
        <v>0</v>
      </c>
      <c r="D225" s="231">
        <v>0</v>
      </c>
      <c r="E225" s="235">
        <v>0</v>
      </c>
      <c r="F225" s="273">
        <v>0</v>
      </c>
      <c r="G225" s="285">
        <v>0</v>
      </c>
      <c r="H225" s="231">
        <v>0</v>
      </c>
      <c r="I225" s="230">
        <v>73966</v>
      </c>
      <c r="J225" s="273">
        <v>20.5</v>
      </c>
      <c r="K225" s="285">
        <v>0</v>
      </c>
      <c r="L225" s="231">
        <v>0</v>
      </c>
      <c r="M225" s="230">
        <v>94347</v>
      </c>
      <c r="N225" s="231">
        <v>26.2</v>
      </c>
      <c r="O225" s="230">
        <v>188740</v>
      </c>
      <c r="P225" s="231">
        <v>52.4</v>
      </c>
      <c r="Q225" s="230">
        <v>0</v>
      </c>
      <c r="R225" s="231">
        <v>0</v>
      </c>
      <c r="S225" s="230">
        <v>85693</v>
      </c>
      <c r="T225" s="231">
        <v>35.700000000000003</v>
      </c>
      <c r="U225" s="230">
        <v>0</v>
      </c>
      <c r="V225" s="231">
        <v>0</v>
      </c>
      <c r="W225" s="230">
        <v>189046</v>
      </c>
      <c r="X225" s="231">
        <v>52.5</v>
      </c>
      <c r="Y225" s="230">
        <v>61993</v>
      </c>
      <c r="Z225" s="273">
        <v>25.8</v>
      </c>
    </row>
    <row r="226" spans="1:26" s="20" customFormat="1" x14ac:dyDescent="0.2">
      <c r="A226" s="699"/>
      <c r="B226" s="274" t="s">
        <v>382</v>
      </c>
      <c r="C226" s="275">
        <v>38807</v>
      </c>
      <c r="D226" s="276">
        <v>242.5</v>
      </c>
      <c r="E226" s="277">
        <v>202226</v>
      </c>
      <c r="F226" s="287">
        <v>224.7</v>
      </c>
      <c r="G226" s="286">
        <v>78876</v>
      </c>
      <c r="H226" s="276">
        <v>262.89999999999998</v>
      </c>
      <c r="I226" s="275">
        <v>934822</v>
      </c>
      <c r="J226" s="279">
        <v>259.7</v>
      </c>
      <c r="K226" s="286">
        <v>584015</v>
      </c>
      <c r="L226" s="276">
        <v>243.3</v>
      </c>
      <c r="M226" s="275">
        <v>1054433</v>
      </c>
      <c r="N226" s="276">
        <v>292.89999999999998</v>
      </c>
      <c r="O226" s="275">
        <v>2015629</v>
      </c>
      <c r="P226" s="276">
        <v>559.9</v>
      </c>
      <c r="Q226" s="275">
        <v>1001453</v>
      </c>
      <c r="R226" s="276">
        <v>417.3</v>
      </c>
      <c r="S226" s="275">
        <v>997236</v>
      </c>
      <c r="T226" s="276">
        <v>415.5</v>
      </c>
      <c r="U226" s="275">
        <v>1112626</v>
      </c>
      <c r="V226" s="276">
        <v>347.7</v>
      </c>
      <c r="W226" s="275">
        <v>1541403</v>
      </c>
      <c r="X226" s="276">
        <v>428.2</v>
      </c>
      <c r="Y226" s="275">
        <v>703618</v>
      </c>
      <c r="Z226" s="279">
        <v>293.2</v>
      </c>
    </row>
    <row r="227" spans="1:26" s="216" customFormat="1" x14ac:dyDescent="0.2">
      <c r="A227" s="699"/>
      <c r="B227" s="283" t="s">
        <v>491</v>
      </c>
      <c r="C227" s="289" t="s">
        <v>372</v>
      </c>
      <c r="D227" s="291" t="s">
        <v>397</v>
      </c>
      <c r="E227" s="289" t="s">
        <v>372</v>
      </c>
      <c r="F227" s="291" t="s">
        <v>397</v>
      </c>
      <c r="G227" s="289" t="s">
        <v>372</v>
      </c>
      <c r="H227" s="291" t="s">
        <v>397</v>
      </c>
      <c r="I227" s="289" t="s">
        <v>372</v>
      </c>
      <c r="J227" s="291" t="s">
        <v>397</v>
      </c>
      <c r="K227" s="289" t="s">
        <v>372</v>
      </c>
      <c r="L227" s="291" t="s">
        <v>397</v>
      </c>
      <c r="M227" s="289" t="s">
        <v>372</v>
      </c>
      <c r="N227" s="291" t="s">
        <v>397</v>
      </c>
      <c r="O227" s="289" t="s">
        <v>372</v>
      </c>
      <c r="P227" s="291" t="s">
        <v>397</v>
      </c>
      <c r="Q227" s="289" t="s">
        <v>372</v>
      </c>
      <c r="R227" s="291" t="s">
        <v>397</v>
      </c>
      <c r="S227" s="289" t="s">
        <v>372</v>
      </c>
      <c r="T227" s="291" t="s">
        <v>397</v>
      </c>
      <c r="U227" s="289" t="s">
        <v>372</v>
      </c>
      <c r="V227" s="291" t="s">
        <v>397</v>
      </c>
      <c r="W227" s="289" t="s">
        <v>372</v>
      </c>
      <c r="X227" s="291" t="s">
        <v>397</v>
      </c>
      <c r="Y227" s="289" t="s">
        <v>372</v>
      </c>
      <c r="Z227" s="291" t="s">
        <v>397</v>
      </c>
    </row>
    <row r="228" spans="1:26" x14ac:dyDescent="0.2">
      <c r="A228" s="699"/>
      <c r="B228" s="272" t="s">
        <v>373</v>
      </c>
      <c r="C228" s="230">
        <f>C$6-C217</f>
        <v>1934</v>
      </c>
      <c r="D228" s="293">
        <f t="shared" ref="D228:Z228" si="81">D$6-D217</f>
        <v>12.100000000000023</v>
      </c>
      <c r="E228" s="230">
        <f t="shared" si="81"/>
        <v>9687</v>
      </c>
      <c r="F228" s="293">
        <f t="shared" si="81"/>
        <v>10.800000000000011</v>
      </c>
      <c r="G228" s="230">
        <f t="shared" si="81"/>
        <v>6623</v>
      </c>
      <c r="H228" s="293">
        <f t="shared" si="81"/>
        <v>22</v>
      </c>
      <c r="I228" s="230">
        <f t="shared" si="81"/>
        <v>53220</v>
      </c>
      <c r="J228" s="293">
        <f t="shared" si="81"/>
        <v>14.799999999999997</v>
      </c>
      <c r="K228" s="230">
        <f t="shared" si="81"/>
        <v>47117</v>
      </c>
      <c r="L228" s="293">
        <f t="shared" si="81"/>
        <v>19.700000000000003</v>
      </c>
      <c r="M228" s="230">
        <f t="shared" si="81"/>
        <v>54990</v>
      </c>
      <c r="N228" s="293">
        <f t="shared" si="81"/>
        <v>15.300000000000011</v>
      </c>
      <c r="O228" s="230">
        <f t="shared" si="81"/>
        <v>52546</v>
      </c>
      <c r="P228" s="293">
        <f t="shared" si="81"/>
        <v>14.600000000000023</v>
      </c>
      <c r="Q228" s="230">
        <f t="shared" si="81"/>
        <v>26801</v>
      </c>
      <c r="R228" s="293">
        <f t="shared" si="81"/>
        <v>11.099999999999994</v>
      </c>
      <c r="S228" s="230">
        <f t="shared" si="81"/>
        <v>20924</v>
      </c>
      <c r="T228" s="293">
        <f t="shared" si="81"/>
        <v>8.7999999999999829</v>
      </c>
      <c r="U228" s="230">
        <f t="shared" si="81"/>
        <v>104631</v>
      </c>
      <c r="V228" s="293">
        <f t="shared" si="81"/>
        <v>32.700000000000017</v>
      </c>
      <c r="W228" s="230">
        <f t="shared" si="81"/>
        <v>53266</v>
      </c>
      <c r="X228" s="293">
        <f t="shared" si="81"/>
        <v>14.799999999999997</v>
      </c>
      <c r="Y228" s="230">
        <f t="shared" si="81"/>
        <v>42172</v>
      </c>
      <c r="Z228" s="293">
        <f t="shared" si="81"/>
        <v>17.600000000000023</v>
      </c>
    </row>
    <row r="229" spans="1:26" x14ac:dyDescent="0.2">
      <c r="A229" s="699"/>
      <c r="B229" s="272" t="s">
        <v>374</v>
      </c>
      <c r="C229" s="230">
        <f t="shared" ref="C229:Z229" si="82">C$7-C218</f>
        <v>0</v>
      </c>
      <c r="D229" s="293">
        <f t="shared" si="82"/>
        <v>0</v>
      </c>
      <c r="E229" s="230">
        <f t="shared" si="82"/>
        <v>0</v>
      </c>
      <c r="F229" s="293">
        <f t="shared" si="82"/>
        <v>0</v>
      </c>
      <c r="G229" s="230">
        <f t="shared" si="82"/>
        <v>-124</v>
      </c>
      <c r="H229" s="293">
        <f t="shared" si="82"/>
        <v>-0.39999999999999858</v>
      </c>
      <c r="I229" s="230">
        <f t="shared" si="82"/>
        <v>-1621</v>
      </c>
      <c r="J229" s="293">
        <f t="shared" si="82"/>
        <v>-0.40000000000000213</v>
      </c>
      <c r="K229" s="230">
        <f t="shared" si="82"/>
        <v>-1352</v>
      </c>
      <c r="L229" s="293">
        <f t="shared" si="82"/>
        <v>-0.59999999999999432</v>
      </c>
      <c r="M229" s="230">
        <f t="shared" si="82"/>
        <v>-1837</v>
      </c>
      <c r="N229" s="293">
        <f t="shared" si="82"/>
        <v>-0.60000000000000142</v>
      </c>
      <c r="O229" s="230">
        <f t="shared" si="82"/>
        <v>-12017</v>
      </c>
      <c r="P229" s="293">
        <f t="shared" si="82"/>
        <v>-3.2999999999999972</v>
      </c>
      <c r="Q229" s="230">
        <f t="shared" si="82"/>
        <v>-7985</v>
      </c>
      <c r="R229" s="293">
        <f t="shared" si="82"/>
        <v>-3.2999999999999972</v>
      </c>
      <c r="S229" s="230">
        <f t="shared" si="82"/>
        <v>-1309</v>
      </c>
      <c r="T229" s="293">
        <f t="shared" si="82"/>
        <v>-0.59999999999999432</v>
      </c>
      <c r="U229" s="230">
        <f t="shared" si="82"/>
        <v>-1760</v>
      </c>
      <c r="V229" s="293">
        <f t="shared" si="82"/>
        <v>-0.60000000000000142</v>
      </c>
      <c r="W229" s="230">
        <f t="shared" si="82"/>
        <v>-3237</v>
      </c>
      <c r="X229" s="293">
        <f t="shared" si="82"/>
        <v>-0.90000000000000568</v>
      </c>
      <c r="Y229" s="230">
        <f t="shared" si="82"/>
        <v>-1078</v>
      </c>
      <c r="Z229" s="293">
        <f t="shared" si="82"/>
        <v>-0.39999999999999858</v>
      </c>
    </row>
    <row r="230" spans="1:26" x14ac:dyDescent="0.2">
      <c r="A230" s="699"/>
      <c r="B230" s="272" t="s">
        <v>375</v>
      </c>
      <c r="C230" s="230">
        <f>C$8-C219</f>
        <v>0</v>
      </c>
      <c r="D230" s="293">
        <f t="shared" ref="D230:Z230" si="83">D$8-D219</f>
        <v>0</v>
      </c>
      <c r="E230" s="230">
        <f t="shared" si="83"/>
        <v>0</v>
      </c>
      <c r="F230" s="293">
        <f t="shared" si="83"/>
        <v>0</v>
      </c>
      <c r="G230" s="230">
        <f t="shared" si="83"/>
        <v>0</v>
      </c>
      <c r="H230" s="293">
        <f t="shared" si="83"/>
        <v>0</v>
      </c>
      <c r="I230" s="230">
        <f t="shared" si="83"/>
        <v>0</v>
      </c>
      <c r="J230" s="293">
        <f t="shared" si="83"/>
        <v>0</v>
      </c>
      <c r="K230" s="230">
        <f t="shared" si="83"/>
        <v>0</v>
      </c>
      <c r="L230" s="293">
        <f t="shared" si="83"/>
        <v>0</v>
      </c>
      <c r="M230" s="230">
        <f t="shared" si="83"/>
        <v>0</v>
      </c>
      <c r="N230" s="293">
        <f t="shared" si="83"/>
        <v>0</v>
      </c>
      <c r="O230" s="230">
        <f t="shared" si="83"/>
        <v>0</v>
      </c>
      <c r="P230" s="293">
        <f t="shared" si="83"/>
        <v>0</v>
      </c>
      <c r="Q230" s="230">
        <f t="shared" si="83"/>
        <v>0</v>
      </c>
      <c r="R230" s="293">
        <f t="shared" si="83"/>
        <v>0</v>
      </c>
      <c r="S230" s="230">
        <f t="shared" si="83"/>
        <v>0</v>
      </c>
      <c r="T230" s="293">
        <f t="shared" si="83"/>
        <v>0</v>
      </c>
      <c r="U230" s="230">
        <f t="shared" si="83"/>
        <v>0</v>
      </c>
      <c r="V230" s="293">
        <f t="shared" si="83"/>
        <v>0</v>
      </c>
      <c r="W230" s="230">
        <f t="shared" si="83"/>
        <v>0</v>
      </c>
      <c r="X230" s="293">
        <f t="shared" si="83"/>
        <v>0</v>
      </c>
      <c r="Y230" s="230">
        <f t="shared" si="83"/>
        <v>0</v>
      </c>
      <c r="Z230" s="293">
        <f t="shared" si="83"/>
        <v>0</v>
      </c>
    </row>
    <row r="231" spans="1:26" x14ac:dyDescent="0.2">
      <c r="A231" s="699"/>
      <c r="B231" s="272" t="s">
        <v>376</v>
      </c>
      <c r="C231" s="230">
        <f t="shared" ref="C231:Z231" si="84">C$9-C220</f>
        <v>0</v>
      </c>
      <c r="D231" s="293">
        <f t="shared" si="84"/>
        <v>0</v>
      </c>
      <c r="E231" s="230">
        <f t="shared" si="84"/>
        <v>0</v>
      </c>
      <c r="F231" s="293">
        <f t="shared" si="84"/>
        <v>0</v>
      </c>
      <c r="G231" s="230">
        <f t="shared" si="84"/>
        <v>0</v>
      </c>
      <c r="H231" s="293">
        <f t="shared" si="84"/>
        <v>0</v>
      </c>
      <c r="I231" s="230">
        <f t="shared" si="84"/>
        <v>0</v>
      </c>
      <c r="J231" s="293">
        <f t="shared" si="84"/>
        <v>0</v>
      </c>
      <c r="K231" s="230">
        <f t="shared" si="84"/>
        <v>0</v>
      </c>
      <c r="L231" s="293">
        <f t="shared" si="84"/>
        <v>0</v>
      </c>
      <c r="M231" s="230">
        <f t="shared" si="84"/>
        <v>0</v>
      </c>
      <c r="N231" s="293">
        <f t="shared" si="84"/>
        <v>0</v>
      </c>
      <c r="O231" s="230">
        <f t="shared" si="84"/>
        <v>0</v>
      </c>
      <c r="P231" s="293">
        <f t="shared" si="84"/>
        <v>0</v>
      </c>
      <c r="Q231" s="230">
        <f t="shared" si="84"/>
        <v>0</v>
      </c>
      <c r="R231" s="293">
        <f t="shared" si="84"/>
        <v>0</v>
      </c>
      <c r="S231" s="230">
        <f t="shared" si="84"/>
        <v>0</v>
      </c>
      <c r="T231" s="293">
        <f t="shared" si="84"/>
        <v>0</v>
      </c>
      <c r="U231" s="230">
        <f t="shared" si="84"/>
        <v>0</v>
      </c>
      <c r="V231" s="293">
        <f t="shared" si="84"/>
        <v>0</v>
      </c>
      <c r="W231" s="230">
        <f t="shared" si="84"/>
        <v>0</v>
      </c>
      <c r="X231" s="293">
        <f t="shared" si="84"/>
        <v>0</v>
      </c>
      <c r="Y231" s="230">
        <f t="shared" si="84"/>
        <v>0</v>
      </c>
      <c r="Z231" s="293">
        <f t="shared" si="84"/>
        <v>0</v>
      </c>
    </row>
    <row r="232" spans="1:26" x14ac:dyDescent="0.2">
      <c r="A232" s="699"/>
      <c r="B232" s="272" t="s">
        <v>377</v>
      </c>
      <c r="C232" s="230">
        <f t="shared" ref="C232:Z232" si="85">C$10-C221</f>
        <v>-38</v>
      </c>
      <c r="D232" s="293">
        <f t="shared" si="85"/>
        <v>-0.19999999999999996</v>
      </c>
      <c r="E232" s="230">
        <f t="shared" si="85"/>
        <v>-77</v>
      </c>
      <c r="F232" s="293">
        <f t="shared" si="85"/>
        <v>-9.9999999999999867E-2</v>
      </c>
      <c r="G232" s="230">
        <f t="shared" si="85"/>
        <v>-131</v>
      </c>
      <c r="H232" s="293">
        <f t="shared" si="85"/>
        <v>-0.40000000000000013</v>
      </c>
      <c r="I232" s="230">
        <f t="shared" si="85"/>
        <v>-865</v>
      </c>
      <c r="J232" s="293">
        <f t="shared" si="85"/>
        <v>-0.19999999999999973</v>
      </c>
      <c r="K232" s="230">
        <f t="shared" si="85"/>
        <v>-898</v>
      </c>
      <c r="L232" s="293">
        <f t="shared" si="85"/>
        <v>-0.40000000000000013</v>
      </c>
      <c r="M232" s="230">
        <f t="shared" si="85"/>
        <v>-1144</v>
      </c>
      <c r="N232" s="293">
        <f t="shared" si="85"/>
        <v>-0.29999999999999982</v>
      </c>
      <c r="O232" s="230">
        <f t="shared" si="85"/>
        <v>-1467</v>
      </c>
      <c r="P232" s="293">
        <f t="shared" si="85"/>
        <v>-0.40000000000000036</v>
      </c>
      <c r="Q232" s="230">
        <f t="shared" si="85"/>
        <v>-613</v>
      </c>
      <c r="R232" s="293">
        <f t="shared" si="85"/>
        <v>-0.30000000000000004</v>
      </c>
      <c r="S232" s="230">
        <f t="shared" si="85"/>
        <v>-755</v>
      </c>
      <c r="T232" s="293">
        <f t="shared" si="85"/>
        <v>-0.29999999999999982</v>
      </c>
      <c r="U232" s="230">
        <f t="shared" si="85"/>
        <v>-606</v>
      </c>
      <c r="V232" s="293">
        <f t="shared" si="85"/>
        <v>-0.19999999999999973</v>
      </c>
      <c r="W232" s="230">
        <f t="shared" si="85"/>
        <v>-1578</v>
      </c>
      <c r="X232" s="293">
        <f t="shared" si="85"/>
        <v>-0.40000000000000036</v>
      </c>
      <c r="Y232" s="230">
        <f t="shared" si="85"/>
        <v>-902</v>
      </c>
      <c r="Z232" s="293">
        <f t="shared" si="85"/>
        <v>-0.39999999999999991</v>
      </c>
    </row>
    <row r="233" spans="1:26" x14ac:dyDescent="0.2">
      <c r="A233" s="699"/>
      <c r="B233" s="272" t="s">
        <v>378</v>
      </c>
      <c r="C233" s="230">
        <f t="shared" ref="C233:Z233" si="86">C$11-C222</f>
        <v>0</v>
      </c>
      <c r="D233" s="293">
        <f t="shared" si="86"/>
        <v>0</v>
      </c>
      <c r="E233" s="230">
        <f t="shared" si="86"/>
        <v>0</v>
      </c>
      <c r="F233" s="293">
        <f t="shared" si="86"/>
        <v>0</v>
      </c>
      <c r="G233" s="230">
        <f t="shared" si="86"/>
        <v>0</v>
      </c>
      <c r="H233" s="293">
        <f t="shared" si="86"/>
        <v>0</v>
      </c>
      <c r="I233" s="230">
        <f t="shared" si="86"/>
        <v>0</v>
      </c>
      <c r="J233" s="293">
        <f t="shared" si="86"/>
        <v>0</v>
      </c>
      <c r="K233" s="230">
        <f t="shared" si="86"/>
        <v>0</v>
      </c>
      <c r="L233" s="293">
        <f t="shared" si="86"/>
        <v>0</v>
      </c>
      <c r="M233" s="230">
        <f t="shared" si="86"/>
        <v>0</v>
      </c>
      <c r="N233" s="293">
        <f t="shared" si="86"/>
        <v>0</v>
      </c>
      <c r="O233" s="230">
        <f t="shared" si="86"/>
        <v>0</v>
      </c>
      <c r="P233" s="293">
        <f t="shared" si="86"/>
        <v>0</v>
      </c>
      <c r="Q233" s="230">
        <f t="shared" si="86"/>
        <v>0</v>
      </c>
      <c r="R233" s="293">
        <f t="shared" si="86"/>
        <v>0</v>
      </c>
      <c r="S233" s="230">
        <f t="shared" si="86"/>
        <v>0</v>
      </c>
      <c r="T233" s="293">
        <f t="shared" si="86"/>
        <v>0</v>
      </c>
      <c r="U233" s="230">
        <f t="shared" si="86"/>
        <v>0</v>
      </c>
      <c r="V233" s="293">
        <f t="shared" si="86"/>
        <v>0</v>
      </c>
      <c r="W233" s="230">
        <f t="shared" si="86"/>
        <v>0</v>
      </c>
      <c r="X233" s="293">
        <f t="shared" si="86"/>
        <v>0</v>
      </c>
      <c r="Y233" s="230">
        <f t="shared" si="86"/>
        <v>0</v>
      </c>
      <c r="Z233" s="293">
        <f t="shared" si="86"/>
        <v>0</v>
      </c>
    </row>
    <row r="234" spans="1:26" x14ac:dyDescent="0.2">
      <c r="A234" s="699"/>
      <c r="B234" s="272" t="s">
        <v>379</v>
      </c>
      <c r="C234" s="230">
        <f t="shared" ref="C234:Z234" si="87">C$12-C223</f>
        <v>0</v>
      </c>
      <c r="D234" s="293">
        <f t="shared" si="87"/>
        <v>0</v>
      </c>
      <c r="E234" s="230">
        <f t="shared" si="87"/>
        <v>0</v>
      </c>
      <c r="F234" s="293">
        <f t="shared" si="87"/>
        <v>0</v>
      </c>
      <c r="G234" s="230">
        <f t="shared" si="87"/>
        <v>0</v>
      </c>
      <c r="H234" s="293">
        <f t="shared" si="87"/>
        <v>0</v>
      </c>
      <c r="I234" s="230">
        <f t="shared" si="87"/>
        <v>0</v>
      </c>
      <c r="J234" s="293">
        <f t="shared" si="87"/>
        <v>0</v>
      </c>
      <c r="K234" s="230">
        <f t="shared" si="87"/>
        <v>0</v>
      </c>
      <c r="L234" s="293">
        <f t="shared" si="87"/>
        <v>0</v>
      </c>
      <c r="M234" s="230">
        <f t="shared" si="87"/>
        <v>0</v>
      </c>
      <c r="N234" s="293">
        <f t="shared" si="87"/>
        <v>0</v>
      </c>
      <c r="O234" s="230">
        <f t="shared" si="87"/>
        <v>0</v>
      </c>
      <c r="P234" s="293">
        <f t="shared" si="87"/>
        <v>0</v>
      </c>
      <c r="Q234" s="230">
        <f t="shared" si="87"/>
        <v>0</v>
      </c>
      <c r="R234" s="293">
        <f t="shared" si="87"/>
        <v>0</v>
      </c>
      <c r="S234" s="230">
        <f t="shared" si="87"/>
        <v>0</v>
      </c>
      <c r="T234" s="293">
        <f t="shared" si="87"/>
        <v>0</v>
      </c>
      <c r="U234" s="230">
        <f t="shared" si="87"/>
        <v>0</v>
      </c>
      <c r="V234" s="293">
        <f t="shared" si="87"/>
        <v>0</v>
      </c>
      <c r="W234" s="230">
        <f t="shared" si="87"/>
        <v>0</v>
      </c>
      <c r="X234" s="293">
        <f t="shared" si="87"/>
        <v>0</v>
      </c>
      <c r="Y234" s="230">
        <f t="shared" si="87"/>
        <v>0</v>
      </c>
      <c r="Z234" s="293">
        <f t="shared" si="87"/>
        <v>0</v>
      </c>
    </row>
    <row r="235" spans="1:26" x14ac:dyDescent="0.2">
      <c r="A235" s="699"/>
      <c r="B235" s="272" t="s">
        <v>380</v>
      </c>
      <c r="C235" s="230">
        <f t="shared" ref="C235:Z235" si="88">C$13-C224</f>
        <v>0</v>
      </c>
      <c r="D235" s="293">
        <f t="shared" si="88"/>
        <v>0</v>
      </c>
      <c r="E235" s="230">
        <f t="shared" si="88"/>
        <v>0</v>
      </c>
      <c r="F235" s="293">
        <f t="shared" si="88"/>
        <v>0</v>
      </c>
      <c r="G235" s="230">
        <f t="shared" si="88"/>
        <v>0</v>
      </c>
      <c r="H235" s="293">
        <f t="shared" si="88"/>
        <v>0</v>
      </c>
      <c r="I235" s="230">
        <f t="shared" si="88"/>
        <v>0</v>
      </c>
      <c r="J235" s="293">
        <f t="shared" si="88"/>
        <v>0</v>
      </c>
      <c r="K235" s="230">
        <f t="shared" si="88"/>
        <v>0</v>
      </c>
      <c r="L235" s="293">
        <f t="shared" si="88"/>
        <v>0</v>
      </c>
      <c r="M235" s="230">
        <f t="shared" si="88"/>
        <v>0</v>
      </c>
      <c r="N235" s="293">
        <f t="shared" si="88"/>
        <v>0</v>
      </c>
      <c r="O235" s="230">
        <f t="shared" si="88"/>
        <v>0</v>
      </c>
      <c r="P235" s="293">
        <f t="shared" si="88"/>
        <v>0</v>
      </c>
      <c r="Q235" s="230">
        <f t="shared" si="88"/>
        <v>0</v>
      </c>
      <c r="R235" s="293">
        <f t="shared" si="88"/>
        <v>0</v>
      </c>
      <c r="S235" s="230">
        <f t="shared" si="88"/>
        <v>0</v>
      </c>
      <c r="T235" s="293">
        <f t="shared" si="88"/>
        <v>0</v>
      </c>
      <c r="U235" s="230">
        <f t="shared" si="88"/>
        <v>0</v>
      </c>
      <c r="V235" s="293">
        <f t="shared" si="88"/>
        <v>0</v>
      </c>
      <c r="W235" s="230">
        <f t="shared" si="88"/>
        <v>0</v>
      </c>
      <c r="X235" s="293">
        <f t="shared" si="88"/>
        <v>0</v>
      </c>
      <c r="Y235" s="230">
        <f t="shared" si="88"/>
        <v>0</v>
      </c>
      <c r="Z235" s="293">
        <f t="shared" si="88"/>
        <v>0</v>
      </c>
    </row>
    <row r="236" spans="1:26" x14ac:dyDescent="0.2">
      <c r="A236" s="699"/>
      <c r="B236" s="272" t="s">
        <v>381</v>
      </c>
      <c r="C236" s="230">
        <f t="shared" ref="C236:Z236" si="89">C$14-C225</f>
        <v>0</v>
      </c>
      <c r="D236" s="293">
        <f t="shared" si="89"/>
        <v>0</v>
      </c>
      <c r="E236" s="230">
        <f t="shared" si="89"/>
        <v>0</v>
      </c>
      <c r="F236" s="293">
        <f t="shared" si="89"/>
        <v>0</v>
      </c>
      <c r="G236" s="230">
        <f t="shared" si="89"/>
        <v>0</v>
      </c>
      <c r="H236" s="293">
        <f t="shared" si="89"/>
        <v>0</v>
      </c>
      <c r="I236" s="230">
        <f t="shared" si="89"/>
        <v>0</v>
      </c>
      <c r="J236" s="293">
        <f t="shared" si="89"/>
        <v>0</v>
      </c>
      <c r="K236" s="230">
        <f t="shared" si="89"/>
        <v>0</v>
      </c>
      <c r="L236" s="293">
        <f t="shared" si="89"/>
        <v>0</v>
      </c>
      <c r="M236" s="230">
        <f t="shared" si="89"/>
        <v>0</v>
      </c>
      <c r="N236" s="293">
        <f t="shared" si="89"/>
        <v>0</v>
      </c>
      <c r="O236" s="230">
        <f t="shared" si="89"/>
        <v>0</v>
      </c>
      <c r="P236" s="293">
        <f t="shared" si="89"/>
        <v>0</v>
      </c>
      <c r="Q236" s="230">
        <f t="shared" si="89"/>
        <v>0</v>
      </c>
      <c r="R236" s="293">
        <f t="shared" si="89"/>
        <v>0</v>
      </c>
      <c r="S236" s="230">
        <f t="shared" si="89"/>
        <v>0</v>
      </c>
      <c r="T236" s="293">
        <f t="shared" si="89"/>
        <v>0</v>
      </c>
      <c r="U236" s="230">
        <f t="shared" si="89"/>
        <v>0</v>
      </c>
      <c r="V236" s="293">
        <f t="shared" si="89"/>
        <v>0</v>
      </c>
      <c r="W236" s="230">
        <f t="shared" si="89"/>
        <v>0</v>
      </c>
      <c r="X236" s="293">
        <f t="shared" si="89"/>
        <v>0</v>
      </c>
      <c r="Y236" s="230">
        <f t="shared" si="89"/>
        <v>0</v>
      </c>
      <c r="Z236" s="293">
        <f t="shared" si="89"/>
        <v>0</v>
      </c>
    </row>
    <row r="237" spans="1:26" s="20" customFormat="1" x14ac:dyDescent="0.2">
      <c r="A237" s="700"/>
      <c r="B237" s="274" t="s">
        <v>382</v>
      </c>
      <c r="C237" s="275">
        <f t="shared" ref="C237:Z237" si="90">C$15-C226</f>
        <v>1896</v>
      </c>
      <c r="D237" s="294">
        <f t="shared" si="90"/>
        <v>11.900000000000006</v>
      </c>
      <c r="E237" s="275">
        <f t="shared" si="90"/>
        <v>9611</v>
      </c>
      <c r="F237" s="294">
        <f t="shared" si="90"/>
        <v>10.700000000000017</v>
      </c>
      <c r="G237" s="275">
        <f t="shared" si="90"/>
        <v>6367</v>
      </c>
      <c r="H237" s="294">
        <f t="shared" si="90"/>
        <v>21.200000000000045</v>
      </c>
      <c r="I237" s="275">
        <f t="shared" si="90"/>
        <v>50734</v>
      </c>
      <c r="J237" s="294">
        <f t="shared" si="90"/>
        <v>14.100000000000023</v>
      </c>
      <c r="K237" s="275">
        <f t="shared" si="90"/>
        <v>44868</v>
      </c>
      <c r="L237" s="294">
        <f t="shared" si="90"/>
        <v>18.699999999999989</v>
      </c>
      <c r="M237" s="275">
        <f t="shared" si="90"/>
        <v>52010</v>
      </c>
      <c r="N237" s="294">
        <f t="shared" si="90"/>
        <v>14.400000000000034</v>
      </c>
      <c r="O237" s="275">
        <f t="shared" si="90"/>
        <v>39062</v>
      </c>
      <c r="P237" s="294">
        <f t="shared" si="90"/>
        <v>10.800000000000068</v>
      </c>
      <c r="Q237" s="275">
        <f t="shared" si="90"/>
        <v>18203</v>
      </c>
      <c r="R237" s="294">
        <f t="shared" si="90"/>
        <v>7.5999999999999659</v>
      </c>
      <c r="S237" s="275">
        <f t="shared" si="90"/>
        <v>18859</v>
      </c>
      <c r="T237" s="294">
        <f t="shared" si="90"/>
        <v>7.8999999999999773</v>
      </c>
      <c r="U237" s="275">
        <f t="shared" si="90"/>
        <v>102265</v>
      </c>
      <c r="V237" s="294">
        <f t="shared" si="90"/>
        <v>32</v>
      </c>
      <c r="W237" s="275">
        <f t="shared" si="90"/>
        <v>48452</v>
      </c>
      <c r="X237" s="294">
        <f t="shared" si="90"/>
        <v>13.400000000000034</v>
      </c>
      <c r="Y237" s="275">
        <f t="shared" si="90"/>
        <v>40190</v>
      </c>
      <c r="Z237" s="294">
        <f t="shared" si="90"/>
        <v>16.699999999999989</v>
      </c>
    </row>
    <row r="238" spans="1:26" x14ac:dyDescent="0.2">
      <c r="A238" s="201"/>
      <c r="B238" s="201"/>
      <c r="D238" s="270"/>
    </row>
    <row r="239" spans="1:26" s="202" customFormat="1" ht="13.15" customHeight="1" x14ac:dyDescent="0.2">
      <c r="A239" s="698" t="s">
        <v>577</v>
      </c>
      <c r="B239" s="269" t="s">
        <v>488</v>
      </c>
      <c r="C239" s="368"/>
      <c r="D239" s="369"/>
      <c r="E239" s="368"/>
      <c r="F239" s="369"/>
      <c r="G239" s="304" t="s">
        <v>486</v>
      </c>
      <c r="H239" s="280" t="s">
        <v>487</v>
      </c>
      <c r="I239" s="304" t="s">
        <v>486</v>
      </c>
      <c r="J239" s="280" t="s">
        <v>487</v>
      </c>
      <c r="K239" s="304" t="s">
        <v>486</v>
      </c>
      <c r="L239" s="280" t="s">
        <v>487</v>
      </c>
      <c r="M239" s="304" t="s">
        <v>486</v>
      </c>
      <c r="N239" s="280" t="s">
        <v>487</v>
      </c>
      <c r="O239" s="304" t="s">
        <v>486</v>
      </c>
      <c r="P239" s="280" t="s">
        <v>487</v>
      </c>
      <c r="Q239" s="304" t="s">
        <v>486</v>
      </c>
      <c r="R239" s="280" t="s">
        <v>487</v>
      </c>
      <c r="S239" s="304" t="s">
        <v>486</v>
      </c>
      <c r="T239" s="280" t="s">
        <v>487</v>
      </c>
      <c r="U239" s="304" t="s">
        <v>486</v>
      </c>
      <c r="V239" s="280" t="s">
        <v>487</v>
      </c>
      <c r="W239" s="304" t="s">
        <v>486</v>
      </c>
      <c r="X239" s="280" t="s">
        <v>487</v>
      </c>
      <c r="Y239" s="304" t="s">
        <v>486</v>
      </c>
      <c r="Z239" s="314" t="s">
        <v>487</v>
      </c>
    </row>
    <row r="240" spans="1:26" x14ac:dyDescent="0.2">
      <c r="A240" s="699"/>
      <c r="B240" s="316" t="s">
        <v>289</v>
      </c>
      <c r="C240" s="372"/>
      <c r="D240" s="381"/>
      <c r="E240" s="372"/>
      <c r="F240" s="381"/>
      <c r="G240" s="319">
        <f>'6 Oversikt startpunkt'!D56</f>
        <v>12</v>
      </c>
      <c r="H240" s="231">
        <f>'3 Byggeår'!G83</f>
        <v>8</v>
      </c>
      <c r="I240" s="317">
        <f>'6 Oversikt startpunkt'!E56</f>
        <v>12</v>
      </c>
      <c r="J240" s="231">
        <f>'3 Byggeår'!H83</f>
        <v>8</v>
      </c>
      <c r="K240" s="317">
        <f>'6 Oversikt startpunkt'!F56</f>
        <v>15</v>
      </c>
      <c r="L240" s="231">
        <f>'3 Byggeår'!I83</f>
        <v>10</v>
      </c>
      <c r="M240" s="317">
        <f>'6 Oversikt startpunkt'!G56</f>
        <v>12</v>
      </c>
      <c r="N240" s="231">
        <f>'3 Byggeår'!J83</f>
        <v>8</v>
      </c>
      <c r="O240" s="317">
        <f>'6 Oversikt startpunkt'!H56</f>
        <v>12</v>
      </c>
      <c r="P240" s="231">
        <f>'3 Byggeår'!K83</f>
        <v>8</v>
      </c>
      <c r="Q240" s="317">
        <f>'6 Oversikt startpunkt'!I56</f>
        <v>12</v>
      </c>
      <c r="R240" s="231">
        <f>'3 Byggeår'!L83</f>
        <v>8</v>
      </c>
      <c r="S240" s="317">
        <f>'6 Oversikt startpunkt'!J56</f>
        <v>12</v>
      </c>
      <c r="T240" s="231">
        <f>'3 Byggeår'!M83</f>
        <v>8</v>
      </c>
      <c r="U240" s="317">
        <f>'6 Oversikt startpunkt'!K56</f>
        <v>12</v>
      </c>
      <c r="V240" s="231">
        <f>'3 Byggeår'!N83</f>
        <v>8</v>
      </c>
      <c r="W240" s="317">
        <f>'6 Oversikt startpunkt'!L56</f>
        <v>22.5</v>
      </c>
      <c r="X240" s="231">
        <f>'3 Byggeår'!O83</f>
        <v>15</v>
      </c>
      <c r="Y240" s="317">
        <f>'6 Oversikt startpunkt'!M56</f>
        <v>12</v>
      </c>
      <c r="Z240" s="299">
        <f>'3 Byggeår'!P83</f>
        <v>8</v>
      </c>
    </row>
    <row r="241" spans="1:26" s="216" customFormat="1" x14ac:dyDescent="0.2">
      <c r="A241" s="699"/>
      <c r="B241" s="288" t="s">
        <v>490</v>
      </c>
      <c r="C241" s="353"/>
      <c r="D241" s="374"/>
      <c r="E241" s="353"/>
      <c r="F241" s="354"/>
      <c r="G241" s="292" t="s">
        <v>372</v>
      </c>
      <c r="H241" s="290" t="s">
        <v>397</v>
      </c>
      <c r="I241" s="289" t="s">
        <v>372</v>
      </c>
      <c r="J241" s="291" t="s">
        <v>397</v>
      </c>
      <c r="K241" s="292" t="s">
        <v>372</v>
      </c>
      <c r="L241" s="290" t="s">
        <v>397</v>
      </c>
      <c r="M241" s="289" t="s">
        <v>372</v>
      </c>
      <c r="N241" s="290" t="s">
        <v>397</v>
      </c>
      <c r="O241" s="289" t="s">
        <v>372</v>
      </c>
      <c r="P241" s="290" t="s">
        <v>397</v>
      </c>
      <c r="Q241" s="289" t="s">
        <v>372</v>
      </c>
      <c r="R241" s="290" t="s">
        <v>397</v>
      </c>
      <c r="S241" s="289" t="s">
        <v>372</v>
      </c>
      <c r="T241" s="290" t="s">
        <v>397</v>
      </c>
      <c r="U241" s="289" t="s">
        <v>372</v>
      </c>
      <c r="V241" s="290" t="s">
        <v>397</v>
      </c>
      <c r="W241" s="289" t="s">
        <v>372</v>
      </c>
      <c r="X241" s="290" t="s">
        <v>397</v>
      </c>
      <c r="Y241" s="289" t="s">
        <v>372</v>
      </c>
      <c r="Z241" s="291" t="s">
        <v>397</v>
      </c>
    </row>
    <row r="242" spans="1:26" x14ac:dyDescent="0.2">
      <c r="A242" s="699"/>
      <c r="B242" s="272" t="s">
        <v>373</v>
      </c>
      <c r="C242" s="355"/>
      <c r="D242" s="375"/>
      <c r="E242" s="355"/>
      <c r="F242" s="376"/>
      <c r="G242" s="285">
        <v>52205</v>
      </c>
      <c r="H242" s="231">
        <v>174</v>
      </c>
      <c r="I242" s="230">
        <v>398866</v>
      </c>
      <c r="J242" s="273">
        <v>110.8</v>
      </c>
      <c r="K242" s="285">
        <v>318400</v>
      </c>
      <c r="L242" s="231">
        <v>132.69999999999999</v>
      </c>
      <c r="M242" s="230">
        <v>433409</v>
      </c>
      <c r="N242" s="231">
        <v>120.4</v>
      </c>
      <c r="O242" s="230">
        <v>655750</v>
      </c>
      <c r="P242" s="231">
        <v>182.2</v>
      </c>
      <c r="Q242" s="230">
        <v>321277</v>
      </c>
      <c r="R242" s="231">
        <v>133.9</v>
      </c>
      <c r="S242" s="230">
        <v>423770</v>
      </c>
      <c r="T242" s="231">
        <v>176.6</v>
      </c>
      <c r="U242" s="230">
        <v>712553</v>
      </c>
      <c r="V242" s="231">
        <v>222.7</v>
      </c>
      <c r="W242" s="230">
        <v>557077</v>
      </c>
      <c r="X242" s="231">
        <v>154.69999999999999</v>
      </c>
      <c r="Y242" s="230">
        <v>411449</v>
      </c>
      <c r="Z242" s="273">
        <v>171.4</v>
      </c>
    </row>
    <row r="243" spans="1:26" x14ac:dyDescent="0.2">
      <c r="A243" s="699"/>
      <c r="B243" s="272" t="s">
        <v>374</v>
      </c>
      <c r="C243" s="355"/>
      <c r="D243" s="375"/>
      <c r="E243" s="355"/>
      <c r="F243" s="376"/>
      <c r="G243" s="285">
        <v>8812</v>
      </c>
      <c r="H243" s="231">
        <v>29.4</v>
      </c>
      <c r="I243" s="230">
        <v>105420</v>
      </c>
      <c r="J243" s="273">
        <v>29.3</v>
      </c>
      <c r="K243" s="285">
        <v>88279</v>
      </c>
      <c r="L243" s="231">
        <v>36.799999999999997</v>
      </c>
      <c r="M243" s="230">
        <v>137198</v>
      </c>
      <c r="N243" s="231">
        <v>38.1</v>
      </c>
      <c r="O243" s="230">
        <v>343449</v>
      </c>
      <c r="P243" s="231">
        <v>95.4</v>
      </c>
      <c r="Q243" s="230">
        <v>207022</v>
      </c>
      <c r="R243" s="231">
        <v>86.3</v>
      </c>
      <c r="S243" s="230">
        <v>130094</v>
      </c>
      <c r="T243" s="231">
        <v>54.2</v>
      </c>
      <c r="U243" s="230">
        <v>138276</v>
      </c>
      <c r="V243" s="231">
        <v>43.2</v>
      </c>
      <c r="W243" s="230">
        <v>239997</v>
      </c>
      <c r="X243" s="231">
        <v>66.7</v>
      </c>
      <c r="Y243" s="230">
        <v>73886</v>
      </c>
      <c r="Z243" s="273">
        <v>30.8</v>
      </c>
    </row>
    <row r="244" spans="1:26" x14ac:dyDescent="0.2">
      <c r="A244" s="699"/>
      <c r="B244" s="272" t="s">
        <v>375</v>
      </c>
      <c r="C244" s="355"/>
      <c r="D244" s="375"/>
      <c r="E244" s="355"/>
      <c r="F244" s="376"/>
      <c r="G244" s="285">
        <v>3007</v>
      </c>
      <c r="H244" s="231">
        <v>10</v>
      </c>
      <c r="I244" s="230">
        <v>18040</v>
      </c>
      <c r="J244" s="273">
        <v>5</v>
      </c>
      <c r="K244" s="285">
        <v>23530</v>
      </c>
      <c r="L244" s="231">
        <v>9.8000000000000007</v>
      </c>
      <c r="M244" s="230">
        <v>18040</v>
      </c>
      <c r="N244" s="231">
        <v>5</v>
      </c>
      <c r="O244" s="230">
        <v>107170</v>
      </c>
      <c r="P244" s="231">
        <v>29.8</v>
      </c>
      <c r="Q244" s="230">
        <v>71482</v>
      </c>
      <c r="R244" s="231">
        <v>29.8</v>
      </c>
      <c r="S244" s="230">
        <v>71482</v>
      </c>
      <c r="T244" s="231">
        <v>29.8</v>
      </c>
      <c r="U244" s="230">
        <v>156864</v>
      </c>
      <c r="V244" s="231">
        <v>49</v>
      </c>
      <c r="W244" s="230">
        <v>36408</v>
      </c>
      <c r="X244" s="231">
        <v>10.1</v>
      </c>
      <c r="Y244" s="230">
        <v>24054</v>
      </c>
      <c r="Z244" s="273">
        <v>10</v>
      </c>
    </row>
    <row r="245" spans="1:26" x14ac:dyDescent="0.2">
      <c r="A245" s="699"/>
      <c r="B245" s="272" t="s">
        <v>376</v>
      </c>
      <c r="C245" s="355"/>
      <c r="D245" s="375"/>
      <c r="E245" s="355"/>
      <c r="F245" s="376"/>
      <c r="G245" s="285">
        <v>10505</v>
      </c>
      <c r="H245" s="231">
        <v>35</v>
      </c>
      <c r="I245" s="230">
        <v>123343</v>
      </c>
      <c r="J245" s="273">
        <v>34.299999999999997</v>
      </c>
      <c r="K245" s="285">
        <v>92310</v>
      </c>
      <c r="L245" s="231">
        <v>38.5</v>
      </c>
      <c r="M245" s="230">
        <v>160332</v>
      </c>
      <c r="N245" s="231">
        <v>44.5</v>
      </c>
      <c r="O245" s="230">
        <v>369461</v>
      </c>
      <c r="P245" s="231">
        <v>102.6</v>
      </c>
      <c r="Q245" s="230">
        <v>216212</v>
      </c>
      <c r="R245" s="231">
        <v>90.1</v>
      </c>
      <c r="S245" s="230">
        <v>149037</v>
      </c>
      <c r="T245" s="231">
        <v>62.1</v>
      </c>
      <c r="U245" s="230">
        <v>108368</v>
      </c>
      <c r="V245" s="231">
        <v>33.9</v>
      </c>
      <c r="W245" s="230">
        <v>294892</v>
      </c>
      <c r="X245" s="231">
        <v>81.900000000000006</v>
      </c>
      <c r="Y245" s="230">
        <v>91350</v>
      </c>
      <c r="Z245" s="273">
        <v>38.1</v>
      </c>
    </row>
    <row r="246" spans="1:26" x14ac:dyDescent="0.2">
      <c r="A246" s="699"/>
      <c r="B246" s="272" t="s">
        <v>377</v>
      </c>
      <c r="C246" s="355"/>
      <c r="D246" s="375"/>
      <c r="E246" s="355"/>
      <c r="F246" s="376"/>
      <c r="G246" s="285">
        <v>539</v>
      </c>
      <c r="H246" s="231">
        <v>1.8</v>
      </c>
      <c r="I246" s="230">
        <v>11376</v>
      </c>
      <c r="J246" s="273">
        <v>3.2</v>
      </c>
      <c r="K246" s="285">
        <v>4527</v>
      </c>
      <c r="L246" s="231">
        <v>1.9</v>
      </c>
      <c r="M246" s="230">
        <v>13050</v>
      </c>
      <c r="N246" s="231">
        <v>3.6</v>
      </c>
      <c r="O246" s="230">
        <v>16307</v>
      </c>
      <c r="P246" s="231">
        <v>4.5</v>
      </c>
      <c r="Q246" s="230">
        <v>3779</v>
      </c>
      <c r="R246" s="231">
        <v>1.6</v>
      </c>
      <c r="S246" s="230">
        <v>13266</v>
      </c>
      <c r="T246" s="231">
        <v>5.5</v>
      </c>
      <c r="U246" s="230">
        <v>6648</v>
      </c>
      <c r="V246" s="231">
        <v>2.1</v>
      </c>
      <c r="W246" s="230">
        <v>18120</v>
      </c>
      <c r="X246" s="231">
        <v>5</v>
      </c>
      <c r="Y246" s="230">
        <v>8431</v>
      </c>
      <c r="Z246" s="273">
        <v>3.5</v>
      </c>
    </row>
    <row r="247" spans="1:26" x14ac:dyDescent="0.2">
      <c r="A247" s="699"/>
      <c r="B247" s="272" t="s">
        <v>378</v>
      </c>
      <c r="C247" s="355"/>
      <c r="D247" s="375"/>
      <c r="E247" s="355"/>
      <c r="F247" s="376"/>
      <c r="G247" s="285">
        <v>7204</v>
      </c>
      <c r="H247" s="231">
        <v>24</v>
      </c>
      <c r="I247" s="230">
        <v>101477</v>
      </c>
      <c r="J247" s="273">
        <v>28.2</v>
      </c>
      <c r="K247" s="285">
        <v>59340</v>
      </c>
      <c r="L247" s="231">
        <v>24.7</v>
      </c>
      <c r="M247" s="230">
        <v>101477</v>
      </c>
      <c r="N247" s="231">
        <v>28.2</v>
      </c>
      <c r="O247" s="230">
        <v>183960</v>
      </c>
      <c r="P247" s="231">
        <v>51.1</v>
      </c>
      <c r="Q247" s="230">
        <v>122640</v>
      </c>
      <c r="R247" s="231">
        <v>51.1</v>
      </c>
      <c r="S247" s="230">
        <v>122640</v>
      </c>
      <c r="T247" s="231">
        <v>51.1</v>
      </c>
      <c r="U247" s="230">
        <v>74304</v>
      </c>
      <c r="V247" s="231">
        <v>23.2</v>
      </c>
      <c r="W247" s="230">
        <v>227496</v>
      </c>
      <c r="X247" s="231">
        <v>63.2</v>
      </c>
      <c r="Y247" s="230">
        <v>62640</v>
      </c>
      <c r="Z247" s="273">
        <v>26.1</v>
      </c>
    </row>
    <row r="248" spans="1:26" x14ac:dyDescent="0.2">
      <c r="A248" s="699"/>
      <c r="B248" s="272" t="s">
        <v>379</v>
      </c>
      <c r="C248" s="355"/>
      <c r="D248" s="375"/>
      <c r="E248" s="355"/>
      <c r="F248" s="376"/>
      <c r="G248" s="285">
        <v>1801</v>
      </c>
      <c r="H248" s="231">
        <v>6</v>
      </c>
      <c r="I248" s="230">
        <v>139560</v>
      </c>
      <c r="J248" s="273">
        <v>38.799999999999997</v>
      </c>
      <c r="K248" s="285">
        <v>35604</v>
      </c>
      <c r="L248" s="231">
        <v>14.8</v>
      </c>
      <c r="M248" s="230">
        <v>139560</v>
      </c>
      <c r="N248" s="231">
        <v>38.799999999999997</v>
      </c>
      <c r="O248" s="230">
        <v>183960</v>
      </c>
      <c r="P248" s="231">
        <v>51.1</v>
      </c>
      <c r="Q248" s="230">
        <v>61320</v>
      </c>
      <c r="R248" s="231">
        <v>25.6</v>
      </c>
      <c r="S248" s="230">
        <v>15330</v>
      </c>
      <c r="T248" s="231">
        <v>6.4</v>
      </c>
      <c r="U248" s="230">
        <v>9288</v>
      </c>
      <c r="V248" s="231">
        <v>2.9</v>
      </c>
      <c r="W248" s="230">
        <v>15163</v>
      </c>
      <c r="X248" s="231">
        <v>4.2</v>
      </c>
      <c r="Y248" s="230">
        <v>7830</v>
      </c>
      <c r="Z248" s="273">
        <v>3.3</v>
      </c>
    </row>
    <row r="249" spans="1:26" x14ac:dyDescent="0.2">
      <c r="A249" s="699"/>
      <c r="B249" s="272" t="s">
        <v>380</v>
      </c>
      <c r="C249" s="355"/>
      <c r="D249" s="375"/>
      <c r="E249" s="377"/>
      <c r="F249" s="376"/>
      <c r="G249" s="285">
        <v>0</v>
      </c>
      <c r="H249" s="231">
        <v>0</v>
      </c>
      <c r="I249" s="230">
        <v>0</v>
      </c>
      <c r="J249" s="273">
        <v>0</v>
      </c>
      <c r="K249" s="285">
        <v>0</v>
      </c>
      <c r="L249" s="231">
        <v>0</v>
      </c>
      <c r="M249" s="230">
        <v>0</v>
      </c>
      <c r="N249" s="231">
        <v>0</v>
      </c>
      <c r="O249" s="230">
        <v>0</v>
      </c>
      <c r="P249" s="231">
        <v>0</v>
      </c>
      <c r="Q249" s="230">
        <v>0</v>
      </c>
      <c r="R249" s="231">
        <v>0</v>
      </c>
      <c r="S249" s="230">
        <v>0</v>
      </c>
      <c r="T249" s="231">
        <v>0</v>
      </c>
      <c r="U249" s="230">
        <v>0</v>
      </c>
      <c r="V249" s="231">
        <v>0</v>
      </c>
      <c r="W249" s="230">
        <v>0</v>
      </c>
      <c r="X249" s="231">
        <v>0</v>
      </c>
      <c r="Y249" s="230">
        <v>0</v>
      </c>
      <c r="Z249" s="273">
        <v>0</v>
      </c>
    </row>
    <row r="250" spans="1:26" x14ac:dyDescent="0.2">
      <c r="A250" s="699"/>
      <c r="B250" s="272" t="s">
        <v>381</v>
      </c>
      <c r="C250" s="355"/>
      <c r="D250" s="375"/>
      <c r="E250" s="377"/>
      <c r="F250" s="376"/>
      <c r="G250" s="285">
        <v>0</v>
      </c>
      <c r="H250" s="231">
        <v>0</v>
      </c>
      <c r="I250" s="230">
        <v>73966</v>
      </c>
      <c r="J250" s="273">
        <v>20.5</v>
      </c>
      <c r="K250" s="285">
        <v>0</v>
      </c>
      <c r="L250" s="231">
        <v>0</v>
      </c>
      <c r="M250" s="230">
        <v>94347</v>
      </c>
      <c r="N250" s="231">
        <v>26.2</v>
      </c>
      <c r="O250" s="230">
        <v>188740</v>
      </c>
      <c r="P250" s="231">
        <v>52.4</v>
      </c>
      <c r="Q250" s="230">
        <v>0</v>
      </c>
      <c r="R250" s="231">
        <v>0</v>
      </c>
      <c r="S250" s="230">
        <v>85693</v>
      </c>
      <c r="T250" s="231">
        <v>35.700000000000003</v>
      </c>
      <c r="U250" s="230">
        <v>0</v>
      </c>
      <c r="V250" s="231">
        <v>0</v>
      </c>
      <c r="W250" s="230">
        <v>189046</v>
      </c>
      <c r="X250" s="231">
        <v>52.5</v>
      </c>
      <c r="Y250" s="230">
        <v>61993</v>
      </c>
      <c r="Z250" s="273">
        <v>25.8</v>
      </c>
    </row>
    <row r="251" spans="1:26" s="20" customFormat="1" x14ac:dyDescent="0.2">
      <c r="A251" s="699"/>
      <c r="B251" s="274" t="s">
        <v>382</v>
      </c>
      <c r="C251" s="357"/>
      <c r="D251" s="378"/>
      <c r="E251" s="357"/>
      <c r="F251" s="379"/>
      <c r="G251" s="286">
        <v>84074</v>
      </c>
      <c r="H251" s="276">
        <v>280.2</v>
      </c>
      <c r="I251" s="275">
        <v>972048</v>
      </c>
      <c r="J251" s="279">
        <v>270</v>
      </c>
      <c r="K251" s="286">
        <v>621989</v>
      </c>
      <c r="L251" s="276">
        <v>259.2</v>
      </c>
      <c r="M251" s="275">
        <v>1097413</v>
      </c>
      <c r="N251" s="276">
        <v>304.8</v>
      </c>
      <c r="O251" s="275">
        <v>2048796</v>
      </c>
      <c r="P251" s="276">
        <v>569.1</v>
      </c>
      <c r="Q251" s="275">
        <v>1003732</v>
      </c>
      <c r="R251" s="276">
        <v>418.2</v>
      </c>
      <c r="S251" s="275">
        <v>1011312</v>
      </c>
      <c r="T251" s="276">
        <v>421.4</v>
      </c>
      <c r="U251" s="275">
        <v>1206301</v>
      </c>
      <c r="V251" s="276">
        <v>377</v>
      </c>
      <c r="W251" s="275">
        <v>1578199</v>
      </c>
      <c r="X251" s="276">
        <v>438.4</v>
      </c>
      <c r="Y251" s="275">
        <v>741633</v>
      </c>
      <c r="Z251" s="279">
        <v>309</v>
      </c>
    </row>
    <row r="252" spans="1:26" s="216" customFormat="1" x14ac:dyDescent="0.2">
      <c r="A252" s="699"/>
      <c r="B252" s="283" t="s">
        <v>491</v>
      </c>
      <c r="C252" s="353"/>
      <c r="D252" s="354"/>
      <c r="E252" s="353"/>
      <c r="F252" s="354"/>
      <c r="G252" s="289" t="s">
        <v>372</v>
      </c>
      <c r="H252" s="291" t="s">
        <v>397</v>
      </c>
      <c r="I252" s="289" t="s">
        <v>372</v>
      </c>
      <c r="J252" s="291" t="s">
        <v>397</v>
      </c>
      <c r="K252" s="289" t="s">
        <v>372</v>
      </c>
      <c r="L252" s="291" t="s">
        <v>397</v>
      </c>
      <c r="M252" s="289" t="s">
        <v>372</v>
      </c>
      <c r="N252" s="291" t="s">
        <v>397</v>
      </c>
      <c r="O252" s="289" t="s">
        <v>372</v>
      </c>
      <c r="P252" s="291" t="s">
        <v>397</v>
      </c>
      <c r="Q252" s="289" t="s">
        <v>372</v>
      </c>
      <c r="R252" s="291" t="s">
        <v>397</v>
      </c>
      <c r="S252" s="289" t="s">
        <v>372</v>
      </c>
      <c r="T252" s="291" t="s">
        <v>397</v>
      </c>
      <c r="U252" s="289" t="s">
        <v>372</v>
      </c>
      <c r="V252" s="291" t="s">
        <v>397</v>
      </c>
      <c r="W252" s="289" t="s">
        <v>372</v>
      </c>
      <c r="X252" s="291" t="s">
        <v>397</v>
      </c>
      <c r="Y252" s="289" t="s">
        <v>372</v>
      </c>
      <c r="Z252" s="291" t="s">
        <v>397</v>
      </c>
    </row>
    <row r="253" spans="1:26" x14ac:dyDescent="0.2">
      <c r="A253" s="699"/>
      <c r="B253" s="272" t="s">
        <v>373</v>
      </c>
      <c r="C253" s="355"/>
      <c r="D253" s="356"/>
      <c r="E253" s="355"/>
      <c r="F253" s="356"/>
      <c r="G253" s="230">
        <f t="shared" ref="G253:Z253" si="91">G$6-G242</f>
        <v>-2392</v>
      </c>
      <c r="H253" s="293">
        <f t="shared" si="91"/>
        <v>-8</v>
      </c>
      <c r="I253" s="230">
        <f t="shared" si="91"/>
        <v>-36854</v>
      </c>
      <c r="J253" s="293">
        <f t="shared" si="91"/>
        <v>-10.200000000000003</v>
      </c>
      <c r="K253" s="230">
        <f t="shared" si="91"/>
        <v>-22550</v>
      </c>
      <c r="L253" s="293">
        <f t="shared" si="91"/>
        <v>-9.3999999999999915</v>
      </c>
      <c r="M253" s="230">
        <f t="shared" si="91"/>
        <v>-41461</v>
      </c>
      <c r="N253" s="293">
        <f t="shared" si="91"/>
        <v>-11.5</v>
      </c>
      <c r="O253" s="230">
        <f t="shared" si="91"/>
        <v>-85898</v>
      </c>
      <c r="P253" s="293">
        <f t="shared" si="91"/>
        <v>-23.899999999999977</v>
      </c>
      <c r="Q253" s="230">
        <f t="shared" si="91"/>
        <v>-45161</v>
      </c>
      <c r="R253" s="293">
        <f t="shared" si="91"/>
        <v>-18.900000000000006</v>
      </c>
      <c r="S253" s="230">
        <f t="shared" si="91"/>
        <v>-56433</v>
      </c>
      <c r="T253" s="293">
        <f t="shared" si="91"/>
        <v>-23.5</v>
      </c>
      <c r="U253" s="230">
        <f t="shared" si="91"/>
        <v>-28255</v>
      </c>
      <c r="V253" s="293">
        <f t="shared" si="91"/>
        <v>-8.8999999999999773</v>
      </c>
      <c r="W253" s="230">
        <f t="shared" si="91"/>
        <v>-101628</v>
      </c>
      <c r="X253" s="293">
        <f t="shared" si="91"/>
        <v>-28.199999999999989</v>
      </c>
      <c r="Y253" s="230">
        <f t="shared" si="91"/>
        <v>-29121</v>
      </c>
      <c r="Z253" s="293">
        <f t="shared" si="91"/>
        <v>-12.099999999999994</v>
      </c>
    </row>
    <row r="254" spans="1:26" x14ac:dyDescent="0.2">
      <c r="A254" s="699"/>
      <c r="B254" s="272" t="s">
        <v>374</v>
      </c>
      <c r="C254" s="355"/>
      <c r="D254" s="356"/>
      <c r="E254" s="355"/>
      <c r="F254" s="356"/>
      <c r="G254" s="230">
        <f t="shared" ref="G254:Z254" si="92">G$7-G243</f>
        <v>-31</v>
      </c>
      <c r="H254" s="293">
        <f t="shared" si="92"/>
        <v>-9.9999999999997868E-2</v>
      </c>
      <c r="I254" s="230">
        <f t="shared" si="92"/>
        <v>-372</v>
      </c>
      <c r="J254" s="293">
        <f t="shared" si="92"/>
        <v>-0.10000000000000142</v>
      </c>
      <c r="K254" s="230">
        <f t="shared" si="92"/>
        <v>-124</v>
      </c>
      <c r="L254" s="293">
        <f t="shared" si="92"/>
        <v>-9.9999999999994316E-2</v>
      </c>
      <c r="M254" s="230">
        <f t="shared" si="92"/>
        <v>-243</v>
      </c>
      <c r="N254" s="293">
        <f t="shared" si="92"/>
        <v>-0.10000000000000142</v>
      </c>
      <c r="O254" s="230">
        <f t="shared" si="92"/>
        <v>-45</v>
      </c>
      <c r="P254" s="293">
        <f t="shared" si="92"/>
        <v>0</v>
      </c>
      <c r="Q254" s="230">
        <f t="shared" si="92"/>
        <v>-131</v>
      </c>
      <c r="R254" s="293">
        <f t="shared" si="92"/>
        <v>-9.9999999999994316E-2</v>
      </c>
      <c r="S254" s="230">
        <f t="shared" si="92"/>
        <v>-2</v>
      </c>
      <c r="T254" s="293">
        <f t="shared" si="92"/>
        <v>0</v>
      </c>
      <c r="U254" s="230">
        <f t="shared" si="92"/>
        <v>-288</v>
      </c>
      <c r="V254" s="293">
        <f t="shared" si="92"/>
        <v>-0.10000000000000142</v>
      </c>
      <c r="W254" s="230">
        <f t="shared" si="92"/>
        <v>-187</v>
      </c>
      <c r="X254" s="293">
        <f t="shared" si="92"/>
        <v>-0.10000000000000853</v>
      </c>
      <c r="Y254" s="230">
        <f t="shared" si="92"/>
        <v>-1</v>
      </c>
      <c r="Z254" s="293">
        <f t="shared" si="92"/>
        <v>0</v>
      </c>
    </row>
    <row r="255" spans="1:26" x14ac:dyDescent="0.2">
      <c r="A255" s="699"/>
      <c r="B255" s="272" t="s">
        <v>375</v>
      </c>
      <c r="C255" s="355"/>
      <c r="D255" s="356"/>
      <c r="E255" s="355"/>
      <c r="F255" s="356"/>
      <c r="G255" s="230">
        <f t="shared" ref="G255:Z255" si="93">G$8-G244</f>
        <v>0</v>
      </c>
      <c r="H255" s="293">
        <f t="shared" si="93"/>
        <v>0</v>
      </c>
      <c r="I255" s="230">
        <f t="shared" si="93"/>
        <v>0</v>
      </c>
      <c r="J255" s="293">
        <f t="shared" si="93"/>
        <v>0</v>
      </c>
      <c r="K255" s="230">
        <f t="shared" si="93"/>
        <v>0</v>
      </c>
      <c r="L255" s="293">
        <f t="shared" si="93"/>
        <v>0</v>
      </c>
      <c r="M255" s="230">
        <f t="shared" si="93"/>
        <v>0</v>
      </c>
      <c r="N255" s="293">
        <f t="shared" si="93"/>
        <v>0</v>
      </c>
      <c r="O255" s="230">
        <f t="shared" si="93"/>
        <v>0</v>
      </c>
      <c r="P255" s="293">
        <f t="shared" si="93"/>
        <v>0</v>
      </c>
      <c r="Q255" s="230">
        <f t="shared" si="93"/>
        <v>0</v>
      </c>
      <c r="R255" s="293">
        <f t="shared" si="93"/>
        <v>0</v>
      </c>
      <c r="S255" s="230">
        <f t="shared" si="93"/>
        <v>0</v>
      </c>
      <c r="T255" s="293">
        <f t="shared" si="93"/>
        <v>0</v>
      </c>
      <c r="U255" s="230">
        <f t="shared" si="93"/>
        <v>0</v>
      </c>
      <c r="V255" s="293">
        <f t="shared" si="93"/>
        <v>0</v>
      </c>
      <c r="W255" s="230">
        <f t="shared" si="93"/>
        <v>0</v>
      </c>
      <c r="X255" s="293">
        <f t="shared" si="93"/>
        <v>0</v>
      </c>
      <c r="Y255" s="230">
        <f t="shared" si="93"/>
        <v>0</v>
      </c>
      <c r="Z255" s="293">
        <f t="shared" si="93"/>
        <v>0</v>
      </c>
    </row>
    <row r="256" spans="1:26" x14ac:dyDescent="0.2">
      <c r="A256" s="699"/>
      <c r="B256" s="272" t="s">
        <v>376</v>
      </c>
      <c r="C256" s="355"/>
      <c r="D256" s="356"/>
      <c r="E256" s="355"/>
      <c r="F256" s="356"/>
      <c r="G256" s="230">
        <f t="shared" ref="G256:Z256" si="94">G$9-G245</f>
        <v>0</v>
      </c>
      <c r="H256" s="293">
        <f t="shared" si="94"/>
        <v>0</v>
      </c>
      <c r="I256" s="230">
        <f t="shared" si="94"/>
        <v>0</v>
      </c>
      <c r="J256" s="293">
        <f t="shared" si="94"/>
        <v>0</v>
      </c>
      <c r="K256" s="230">
        <f t="shared" si="94"/>
        <v>0</v>
      </c>
      <c r="L256" s="293">
        <f t="shared" si="94"/>
        <v>0</v>
      </c>
      <c r="M256" s="230">
        <f t="shared" si="94"/>
        <v>0</v>
      </c>
      <c r="N256" s="293">
        <f t="shared" si="94"/>
        <v>0</v>
      </c>
      <c r="O256" s="230">
        <f t="shared" si="94"/>
        <v>0</v>
      </c>
      <c r="P256" s="293">
        <f t="shared" si="94"/>
        <v>0</v>
      </c>
      <c r="Q256" s="230">
        <f t="shared" si="94"/>
        <v>0</v>
      </c>
      <c r="R256" s="293">
        <f t="shared" si="94"/>
        <v>0</v>
      </c>
      <c r="S256" s="230">
        <f t="shared" si="94"/>
        <v>0</v>
      </c>
      <c r="T256" s="293">
        <f t="shared" si="94"/>
        <v>0</v>
      </c>
      <c r="U256" s="230">
        <f t="shared" si="94"/>
        <v>0</v>
      </c>
      <c r="V256" s="293">
        <f t="shared" si="94"/>
        <v>0</v>
      </c>
      <c r="W256" s="230">
        <f t="shared" si="94"/>
        <v>0</v>
      </c>
      <c r="X256" s="293">
        <f t="shared" si="94"/>
        <v>0</v>
      </c>
      <c r="Y256" s="230">
        <f t="shared" si="94"/>
        <v>0</v>
      </c>
      <c r="Z256" s="293">
        <f t="shared" si="94"/>
        <v>0</v>
      </c>
    </row>
    <row r="257" spans="1:26" x14ac:dyDescent="0.2">
      <c r="A257" s="699"/>
      <c r="B257" s="272" t="s">
        <v>377</v>
      </c>
      <c r="C257" s="355"/>
      <c r="D257" s="356"/>
      <c r="E257" s="355"/>
      <c r="F257" s="356"/>
      <c r="G257" s="230">
        <f t="shared" ref="G257:Z257" si="95">G$10-G246</f>
        <v>-8</v>
      </c>
      <c r="H257" s="293">
        <f t="shared" si="95"/>
        <v>0</v>
      </c>
      <c r="I257" s="230">
        <f t="shared" si="95"/>
        <v>-4</v>
      </c>
      <c r="J257" s="293">
        <f t="shared" si="95"/>
        <v>0</v>
      </c>
      <c r="K257" s="230">
        <f t="shared" si="95"/>
        <v>-104</v>
      </c>
      <c r="L257" s="293">
        <f t="shared" si="95"/>
        <v>-9.9999999999999867E-2</v>
      </c>
      <c r="M257" s="230">
        <f t="shared" si="95"/>
        <v>-4</v>
      </c>
      <c r="N257" s="293">
        <f t="shared" si="95"/>
        <v>0</v>
      </c>
      <c r="O257" s="230">
        <f t="shared" si="95"/>
        <v>-154</v>
      </c>
      <c r="P257" s="293">
        <f t="shared" si="95"/>
        <v>0</v>
      </c>
      <c r="Q257" s="230">
        <f t="shared" si="95"/>
        <v>-104</v>
      </c>
      <c r="R257" s="293">
        <f t="shared" si="95"/>
        <v>-0.10000000000000009</v>
      </c>
      <c r="S257" s="230">
        <f t="shared" si="95"/>
        <v>-102</v>
      </c>
      <c r="T257" s="293">
        <f t="shared" si="95"/>
        <v>0</v>
      </c>
      <c r="U257" s="230">
        <f t="shared" si="95"/>
        <v>-20</v>
      </c>
      <c r="V257" s="293">
        <f t="shared" si="95"/>
        <v>0</v>
      </c>
      <c r="W257" s="230">
        <f t="shared" si="95"/>
        <v>-257</v>
      </c>
      <c r="X257" s="293">
        <f t="shared" si="95"/>
        <v>0</v>
      </c>
      <c r="Y257" s="230">
        <f t="shared" si="95"/>
        <v>-22</v>
      </c>
      <c r="Z257" s="293">
        <f t="shared" si="95"/>
        <v>0</v>
      </c>
    </row>
    <row r="258" spans="1:26" x14ac:dyDescent="0.2">
      <c r="A258" s="699"/>
      <c r="B258" s="272" t="s">
        <v>378</v>
      </c>
      <c r="C258" s="355"/>
      <c r="D258" s="356"/>
      <c r="E258" s="355"/>
      <c r="F258" s="356"/>
      <c r="G258" s="230">
        <f t="shared" ref="G258:Z258" si="96">G$11-G247</f>
        <v>3601</v>
      </c>
      <c r="H258" s="293">
        <f t="shared" si="96"/>
        <v>12</v>
      </c>
      <c r="I258" s="230">
        <f t="shared" si="96"/>
        <v>50738</v>
      </c>
      <c r="J258" s="293">
        <f t="shared" si="96"/>
        <v>14.099999999999998</v>
      </c>
      <c r="K258" s="230">
        <f t="shared" si="96"/>
        <v>29670</v>
      </c>
      <c r="L258" s="293">
        <f t="shared" si="96"/>
        <v>12.400000000000002</v>
      </c>
      <c r="M258" s="230">
        <f t="shared" si="96"/>
        <v>50738</v>
      </c>
      <c r="N258" s="293">
        <f t="shared" si="96"/>
        <v>14.099999999999998</v>
      </c>
      <c r="O258" s="230">
        <f t="shared" si="96"/>
        <v>91991</v>
      </c>
      <c r="P258" s="293">
        <f t="shared" si="96"/>
        <v>25.6</v>
      </c>
      <c r="Q258" s="230">
        <f t="shared" si="96"/>
        <v>61320</v>
      </c>
      <c r="R258" s="293">
        <f t="shared" si="96"/>
        <v>25.6</v>
      </c>
      <c r="S258" s="230">
        <f t="shared" si="96"/>
        <v>61320</v>
      </c>
      <c r="T258" s="293">
        <f t="shared" si="96"/>
        <v>25.6</v>
      </c>
      <c r="U258" s="230">
        <f t="shared" si="96"/>
        <v>37152</v>
      </c>
      <c r="V258" s="293">
        <f t="shared" si="96"/>
        <v>11.599999999999998</v>
      </c>
      <c r="W258" s="230">
        <f t="shared" si="96"/>
        <v>113727</v>
      </c>
      <c r="X258" s="293">
        <f t="shared" si="96"/>
        <v>31.599999999999994</v>
      </c>
      <c r="Y258" s="230">
        <f t="shared" si="96"/>
        <v>31320</v>
      </c>
      <c r="Z258" s="293">
        <f t="shared" si="96"/>
        <v>13</v>
      </c>
    </row>
    <row r="259" spans="1:26" x14ac:dyDescent="0.2">
      <c r="A259" s="699"/>
      <c r="B259" s="272" t="s">
        <v>379</v>
      </c>
      <c r="C259" s="355"/>
      <c r="D259" s="356"/>
      <c r="E259" s="355"/>
      <c r="F259" s="356"/>
      <c r="G259" s="230">
        <f t="shared" ref="G259:Z259" si="97">G$12-G248</f>
        <v>0</v>
      </c>
      <c r="H259" s="293">
        <f t="shared" si="97"/>
        <v>0</v>
      </c>
      <c r="I259" s="230">
        <f t="shared" si="97"/>
        <v>0</v>
      </c>
      <c r="J259" s="293">
        <f t="shared" si="97"/>
        <v>0</v>
      </c>
      <c r="K259" s="230">
        <f t="shared" si="97"/>
        <v>0</v>
      </c>
      <c r="L259" s="293">
        <f t="shared" si="97"/>
        <v>0</v>
      </c>
      <c r="M259" s="230">
        <f t="shared" si="97"/>
        <v>0</v>
      </c>
      <c r="N259" s="293">
        <f t="shared" si="97"/>
        <v>0</v>
      </c>
      <c r="O259" s="230">
        <f t="shared" si="97"/>
        <v>0</v>
      </c>
      <c r="P259" s="293">
        <f t="shared" si="97"/>
        <v>0</v>
      </c>
      <c r="Q259" s="230">
        <f t="shared" si="97"/>
        <v>0</v>
      </c>
      <c r="R259" s="293">
        <f t="shared" si="97"/>
        <v>0</v>
      </c>
      <c r="S259" s="230">
        <f t="shared" si="97"/>
        <v>0</v>
      </c>
      <c r="T259" s="293">
        <f t="shared" si="97"/>
        <v>0</v>
      </c>
      <c r="U259" s="230">
        <f t="shared" si="97"/>
        <v>0</v>
      </c>
      <c r="V259" s="293">
        <f t="shared" si="97"/>
        <v>0</v>
      </c>
      <c r="W259" s="230">
        <f t="shared" si="97"/>
        <v>0</v>
      </c>
      <c r="X259" s="293">
        <f t="shared" si="97"/>
        <v>0</v>
      </c>
      <c r="Y259" s="230">
        <f t="shared" si="97"/>
        <v>0</v>
      </c>
      <c r="Z259" s="293">
        <f t="shared" si="97"/>
        <v>0</v>
      </c>
    </row>
    <row r="260" spans="1:26" x14ac:dyDescent="0.2">
      <c r="A260" s="699"/>
      <c r="B260" s="272" t="s">
        <v>380</v>
      </c>
      <c r="C260" s="355"/>
      <c r="D260" s="356"/>
      <c r="E260" s="355"/>
      <c r="F260" s="356"/>
      <c r="G260" s="230">
        <f t="shared" ref="G260:Z260" si="98">G$13-G249</f>
        <v>0</v>
      </c>
      <c r="H260" s="293">
        <f t="shared" si="98"/>
        <v>0</v>
      </c>
      <c r="I260" s="230">
        <f t="shared" si="98"/>
        <v>0</v>
      </c>
      <c r="J260" s="293">
        <f t="shared" si="98"/>
        <v>0</v>
      </c>
      <c r="K260" s="230">
        <f t="shared" si="98"/>
        <v>0</v>
      </c>
      <c r="L260" s="293">
        <f t="shared" si="98"/>
        <v>0</v>
      </c>
      <c r="M260" s="230">
        <f t="shared" si="98"/>
        <v>0</v>
      </c>
      <c r="N260" s="293">
        <f t="shared" si="98"/>
        <v>0</v>
      </c>
      <c r="O260" s="230">
        <f t="shared" si="98"/>
        <v>0</v>
      </c>
      <c r="P260" s="293">
        <f t="shared" si="98"/>
        <v>0</v>
      </c>
      <c r="Q260" s="230">
        <f t="shared" si="98"/>
        <v>0</v>
      </c>
      <c r="R260" s="293">
        <f t="shared" si="98"/>
        <v>0</v>
      </c>
      <c r="S260" s="230">
        <f t="shared" si="98"/>
        <v>0</v>
      </c>
      <c r="T260" s="293">
        <f t="shared" si="98"/>
        <v>0</v>
      </c>
      <c r="U260" s="230">
        <f t="shared" si="98"/>
        <v>0</v>
      </c>
      <c r="V260" s="293">
        <f t="shared" si="98"/>
        <v>0</v>
      </c>
      <c r="W260" s="230">
        <f t="shared" si="98"/>
        <v>0</v>
      </c>
      <c r="X260" s="293">
        <f t="shared" si="98"/>
        <v>0</v>
      </c>
      <c r="Y260" s="230">
        <f t="shared" si="98"/>
        <v>0</v>
      </c>
      <c r="Z260" s="293">
        <f t="shared" si="98"/>
        <v>0</v>
      </c>
    </row>
    <row r="261" spans="1:26" x14ac:dyDescent="0.2">
      <c r="A261" s="699"/>
      <c r="B261" s="272" t="s">
        <v>381</v>
      </c>
      <c r="C261" s="355"/>
      <c r="D261" s="356"/>
      <c r="E261" s="355"/>
      <c r="F261" s="356"/>
      <c r="G261" s="230">
        <f t="shared" ref="G261:Z261" si="99">G$14-G250</f>
        <v>0</v>
      </c>
      <c r="H261" s="293">
        <f t="shared" si="99"/>
        <v>0</v>
      </c>
      <c r="I261" s="230">
        <f t="shared" si="99"/>
        <v>0</v>
      </c>
      <c r="J261" s="293">
        <f t="shared" si="99"/>
        <v>0</v>
      </c>
      <c r="K261" s="230">
        <f t="shared" si="99"/>
        <v>0</v>
      </c>
      <c r="L261" s="293">
        <f t="shared" si="99"/>
        <v>0</v>
      </c>
      <c r="M261" s="230">
        <f t="shared" si="99"/>
        <v>0</v>
      </c>
      <c r="N261" s="293">
        <f t="shared" si="99"/>
        <v>0</v>
      </c>
      <c r="O261" s="230">
        <f t="shared" si="99"/>
        <v>0</v>
      </c>
      <c r="P261" s="293">
        <f t="shared" si="99"/>
        <v>0</v>
      </c>
      <c r="Q261" s="230">
        <f t="shared" si="99"/>
        <v>0</v>
      </c>
      <c r="R261" s="293">
        <f t="shared" si="99"/>
        <v>0</v>
      </c>
      <c r="S261" s="230">
        <f t="shared" si="99"/>
        <v>0</v>
      </c>
      <c r="T261" s="293">
        <f t="shared" si="99"/>
        <v>0</v>
      </c>
      <c r="U261" s="230">
        <f t="shared" si="99"/>
        <v>0</v>
      </c>
      <c r="V261" s="293">
        <f t="shared" si="99"/>
        <v>0</v>
      </c>
      <c r="W261" s="230">
        <f t="shared" si="99"/>
        <v>0</v>
      </c>
      <c r="X261" s="293">
        <f t="shared" si="99"/>
        <v>0</v>
      </c>
      <c r="Y261" s="230">
        <f t="shared" si="99"/>
        <v>0</v>
      </c>
      <c r="Z261" s="293">
        <f t="shared" si="99"/>
        <v>0</v>
      </c>
    </row>
    <row r="262" spans="1:26" s="20" customFormat="1" x14ac:dyDescent="0.2">
      <c r="A262" s="700"/>
      <c r="B262" s="274" t="s">
        <v>1059</v>
      </c>
      <c r="C262" s="357"/>
      <c r="D262" s="358"/>
      <c r="E262" s="357"/>
      <c r="F262" s="358"/>
      <c r="G262" s="275">
        <f t="shared" ref="G262:V262" si="100">G$15-G251</f>
        <v>1169</v>
      </c>
      <c r="H262" s="294">
        <f t="shared" si="100"/>
        <v>3.9000000000000341</v>
      </c>
      <c r="I262" s="275">
        <f>I258</f>
        <v>50738</v>
      </c>
      <c r="J262" s="294">
        <f>J258</f>
        <v>14.099999999999998</v>
      </c>
      <c r="K262" s="275">
        <f t="shared" si="100"/>
        <v>6894</v>
      </c>
      <c r="L262" s="294">
        <f t="shared" si="100"/>
        <v>2.8000000000000114</v>
      </c>
      <c r="M262" s="275">
        <f>M258</f>
        <v>50738</v>
      </c>
      <c r="N262" s="294">
        <f>N258</f>
        <v>14.099999999999998</v>
      </c>
      <c r="O262" s="275">
        <f>O258</f>
        <v>91991</v>
      </c>
      <c r="P262" s="294">
        <f>P258</f>
        <v>25.6</v>
      </c>
      <c r="Q262" s="275">
        <f t="shared" si="100"/>
        <v>15924</v>
      </c>
      <c r="R262" s="294">
        <f t="shared" si="100"/>
        <v>6.6999999999999886</v>
      </c>
      <c r="S262" s="275">
        <f>S258</f>
        <v>61320</v>
      </c>
      <c r="T262" s="294">
        <f>T258</f>
        <v>25.6</v>
      </c>
      <c r="U262" s="275">
        <f t="shared" si="100"/>
        <v>8590</v>
      </c>
      <c r="V262" s="294">
        <f t="shared" si="100"/>
        <v>2.6999999999999886</v>
      </c>
      <c r="W262" s="275">
        <f>W258</f>
        <v>113727</v>
      </c>
      <c r="X262" s="294">
        <f>X258</f>
        <v>31.599999999999994</v>
      </c>
      <c r="Y262" s="275">
        <f>Y258</f>
        <v>31320</v>
      </c>
      <c r="Z262" s="294">
        <f>Z258</f>
        <v>13</v>
      </c>
    </row>
    <row r="263" spans="1:26" s="20" customFormat="1" x14ac:dyDescent="0.2">
      <c r="A263" s="266"/>
      <c r="B263" s="227"/>
      <c r="C263" s="267"/>
      <c r="D263" s="232"/>
      <c r="E263" s="268"/>
      <c r="F263" s="237"/>
      <c r="G263" s="267"/>
      <c r="H263" s="232"/>
      <c r="I263" s="267"/>
      <c r="J263" s="232"/>
      <c r="K263" s="267"/>
      <c r="L263" s="232"/>
      <c r="M263" s="267"/>
      <c r="N263" s="232"/>
      <c r="O263" s="267"/>
      <c r="P263" s="232"/>
      <c r="Q263" s="267"/>
      <c r="R263" s="232"/>
      <c r="S263" s="267"/>
      <c r="T263" s="232"/>
      <c r="U263" s="267"/>
      <c r="V263" s="232"/>
      <c r="W263" s="267"/>
      <c r="X263" s="232"/>
      <c r="Y263" s="267"/>
      <c r="Z263" s="232"/>
    </row>
    <row r="264" spans="1:26" s="202" customFormat="1" ht="13.15" customHeight="1" x14ac:dyDescent="0.2">
      <c r="A264" s="698" t="s">
        <v>578</v>
      </c>
      <c r="B264" s="359" t="s">
        <v>488</v>
      </c>
      <c r="C264" s="368"/>
      <c r="D264" s="369"/>
      <c r="E264" s="368"/>
      <c r="F264" s="369"/>
      <c r="G264" s="304" t="s">
        <v>486</v>
      </c>
      <c r="H264" s="280" t="s">
        <v>487</v>
      </c>
      <c r="I264" s="304" t="s">
        <v>486</v>
      </c>
      <c r="J264" s="280" t="s">
        <v>487</v>
      </c>
      <c r="K264" s="304" t="s">
        <v>486</v>
      </c>
      <c r="L264" s="280" t="s">
        <v>487</v>
      </c>
      <c r="M264" s="304" t="s">
        <v>486</v>
      </c>
      <c r="N264" s="280" t="s">
        <v>487</v>
      </c>
      <c r="O264" s="304" t="s">
        <v>486</v>
      </c>
      <c r="P264" s="280" t="s">
        <v>487</v>
      </c>
      <c r="Q264" s="304" t="s">
        <v>486</v>
      </c>
      <c r="R264" s="280" t="s">
        <v>487</v>
      </c>
      <c r="S264" s="304" t="s">
        <v>486</v>
      </c>
      <c r="T264" s="280" t="s">
        <v>487</v>
      </c>
      <c r="U264" s="304" t="s">
        <v>486</v>
      </c>
      <c r="V264" s="280" t="s">
        <v>487</v>
      </c>
      <c r="W264" s="304" t="s">
        <v>486</v>
      </c>
      <c r="X264" s="280" t="s">
        <v>487</v>
      </c>
      <c r="Y264" s="304" t="s">
        <v>486</v>
      </c>
      <c r="Z264" s="314" t="s">
        <v>487</v>
      </c>
    </row>
    <row r="265" spans="1:26" x14ac:dyDescent="0.2">
      <c r="A265" s="699"/>
      <c r="B265" s="316" t="s">
        <v>289</v>
      </c>
      <c r="C265" s="372"/>
      <c r="D265" s="373"/>
      <c r="E265" s="372"/>
      <c r="F265" s="373"/>
      <c r="G265" s="305">
        <f>'6 Oversikt startpunkt'!D56</f>
        <v>12</v>
      </c>
      <c r="H265" s="270">
        <f>'7 Passivhusnivå'!F40</f>
        <v>5</v>
      </c>
      <c r="I265" s="305">
        <f>'6 Oversikt startpunkt'!E56</f>
        <v>12</v>
      </c>
      <c r="J265" s="270">
        <f>'7 Passivhusnivå'!G40</f>
        <v>4</v>
      </c>
      <c r="K265" s="243">
        <f>'6 Oversikt startpunkt'!F56</f>
        <v>15</v>
      </c>
      <c r="L265" s="312">
        <f>'7 Passivhusnivå'!H40</f>
        <v>4.5</v>
      </c>
      <c r="M265" s="271">
        <f>'6 Oversikt startpunkt'!G56</f>
        <v>12</v>
      </c>
      <c r="N265" s="270">
        <f>'7 Passivhusnivå'!I40</f>
        <v>4.5</v>
      </c>
      <c r="O265" s="243">
        <f>'6 Oversikt startpunkt'!H56</f>
        <v>12</v>
      </c>
      <c r="P265" s="312">
        <f>'7 Passivhusnivå'!J40</f>
        <v>5</v>
      </c>
      <c r="Q265" s="271">
        <f>'6 Oversikt startpunkt'!I56</f>
        <v>12</v>
      </c>
      <c r="R265" s="270">
        <f>'7 Passivhusnivå'!K40</f>
        <v>5</v>
      </c>
      <c r="S265" s="243">
        <f>'6 Oversikt startpunkt'!J56</f>
        <v>12</v>
      </c>
      <c r="T265" s="312">
        <f>'7 Passivhusnivå'!L40</f>
        <v>3</v>
      </c>
      <c r="U265" s="271">
        <f>'6 Oversikt startpunkt'!K56</f>
        <v>12</v>
      </c>
      <c r="V265" s="270">
        <f>'7 Passivhusnivå'!M40</f>
        <v>5.5</v>
      </c>
      <c r="W265" s="243">
        <f>'6 Oversikt startpunkt'!L56</f>
        <v>22.5</v>
      </c>
      <c r="X265" s="312">
        <f>'7 Passivhusnivå'!N40</f>
        <v>7.5</v>
      </c>
      <c r="Y265" s="243">
        <f>'6 Oversikt startpunkt'!M56</f>
        <v>12</v>
      </c>
      <c r="Z265" s="312">
        <f>'7 Passivhusnivå'!O40</f>
        <v>6</v>
      </c>
    </row>
    <row r="266" spans="1:26" s="216" customFormat="1" x14ac:dyDescent="0.2">
      <c r="A266" s="699"/>
      <c r="B266" s="360" t="s">
        <v>490</v>
      </c>
      <c r="C266" s="353"/>
      <c r="D266" s="374"/>
      <c r="E266" s="353"/>
      <c r="F266" s="354"/>
      <c r="G266" s="292" t="s">
        <v>372</v>
      </c>
      <c r="H266" s="290" t="s">
        <v>397</v>
      </c>
      <c r="I266" s="289" t="s">
        <v>372</v>
      </c>
      <c r="J266" s="291" t="s">
        <v>397</v>
      </c>
      <c r="K266" s="292" t="s">
        <v>372</v>
      </c>
      <c r="L266" s="290" t="s">
        <v>397</v>
      </c>
      <c r="M266" s="289" t="s">
        <v>372</v>
      </c>
      <c r="N266" s="290" t="s">
        <v>397</v>
      </c>
      <c r="O266" s="289" t="s">
        <v>372</v>
      </c>
      <c r="P266" s="290" t="s">
        <v>397</v>
      </c>
      <c r="Q266" s="289" t="s">
        <v>372</v>
      </c>
      <c r="R266" s="290" t="s">
        <v>397</v>
      </c>
      <c r="S266" s="289" t="s">
        <v>372</v>
      </c>
      <c r="T266" s="290" t="s">
        <v>397</v>
      </c>
      <c r="U266" s="289" t="s">
        <v>372</v>
      </c>
      <c r="V266" s="290" t="s">
        <v>397</v>
      </c>
      <c r="W266" s="289" t="s">
        <v>372</v>
      </c>
      <c r="X266" s="290" t="s">
        <v>397</v>
      </c>
      <c r="Y266" s="289" t="s">
        <v>372</v>
      </c>
      <c r="Z266" s="291" t="s">
        <v>397</v>
      </c>
    </row>
    <row r="267" spans="1:26" x14ac:dyDescent="0.2">
      <c r="A267" s="699"/>
      <c r="B267" s="205" t="s">
        <v>373</v>
      </c>
      <c r="C267" s="355"/>
      <c r="D267" s="375"/>
      <c r="E267" s="355"/>
      <c r="F267" s="376"/>
      <c r="G267" s="285">
        <v>54073</v>
      </c>
      <c r="H267" s="231">
        <v>180.2</v>
      </c>
      <c r="I267" s="230">
        <v>439173</v>
      </c>
      <c r="J267" s="273">
        <v>122</v>
      </c>
      <c r="K267" s="285">
        <v>344299</v>
      </c>
      <c r="L267" s="231">
        <v>143.5</v>
      </c>
      <c r="M267" s="230">
        <v>471748</v>
      </c>
      <c r="N267" s="231">
        <v>131</v>
      </c>
      <c r="O267" s="230">
        <v>720804</v>
      </c>
      <c r="P267" s="231">
        <v>200.2</v>
      </c>
      <c r="Q267" s="230">
        <v>357363</v>
      </c>
      <c r="R267" s="231">
        <v>148.9</v>
      </c>
      <c r="S267" s="230">
        <v>495636</v>
      </c>
      <c r="T267" s="231">
        <v>206.5</v>
      </c>
      <c r="U267" s="230">
        <v>730565</v>
      </c>
      <c r="V267" s="231">
        <v>228.3</v>
      </c>
      <c r="W267" s="230">
        <v>661829</v>
      </c>
      <c r="X267" s="231">
        <v>183.8</v>
      </c>
      <c r="Y267" s="230">
        <v>426150</v>
      </c>
      <c r="Z267" s="273">
        <v>177.6</v>
      </c>
    </row>
    <row r="268" spans="1:26" x14ac:dyDescent="0.2">
      <c r="A268" s="699"/>
      <c r="B268" s="205" t="s">
        <v>374</v>
      </c>
      <c r="C268" s="355"/>
      <c r="D268" s="375"/>
      <c r="E268" s="355"/>
      <c r="F268" s="376"/>
      <c r="G268" s="285">
        <v>8831</v>
      </c>
      <c r="H268" s="231">
        <v>29.4</v>
      </c>
      <c r="I268" s="230">
        <v>105578</v>
      </c>
      <c r="J268" s="273">
        <v>29.3</v>
      </c>
      <c r="K268" s="285">
        <v>88336</v>
      </c>
      <c r="L268" s="231">
        <v>36.799999999999997</v>
      </c>
      <c r="M268" s="230">
        <v>137287</v>
      </c>
      <c r="N268" s="231">
        <v>38.1</v>
      </c>
      <c r="O268" s="230">
        <v>343457</v>
      </c>
      <c r="P268" s="231">
        <v>95.4</v>
      </c>
      <c r="Q268" s="230">
        <v>207075</v>
      </c>
      <c r="R268" s="231">
        <v>86.3</v>
      </c>
      <c r="S268" s="230">
        <v>130094</v>
      </c>
      <c r="T268" s="231">
        <v>54.2</v>
      </c>
      <c r="U268" s="230">
        <v>138402</v>
      </c>
      <c r="V268" s="231">
        <v>43.3</v>
      </c>
      <c r="W268" s="230">
        <v>240105</v>
      </c>
      <c r="X268" s="231">
        <v>66.7</v>
      </c>
      <c r="Y268" s="230">
        <v>73887</v>
      </c>
      <c r="Z268" s="273">
        <v>30.8</v>
      </c>
    </row>
    <row r="269" spans="1:26" x14ac:dyDescent="0.2">
      <c r="A269" s="699"/>
      <c r="B269" s="205" t="s">
        <v>375</v>
      </c>
      <c r="C269" s="355"/>
      <c r="D269" s="375"/>
      <c r="E269" s="355"/>
      <c r="F269" s="376"/>
      <c r="G269" s="285">
        <v>3007</v>
      </c>
      <c r="H269" s="231">
        <v>10</v>
      </c>
      <c r="I269" s="230">
        <v>18040</v>
      </c>
      <c r="J269" s="273">
        <v>5</v>
      </c>
      <c r="K269" s="285">
        <v>23530</v>
      </c>
      <c r="L269" s="231">
        <v>9.8000000000000007</v>
      </c>
      <c r="M269" s="230">
        <v>18040</v>
      </c>
      <c r="N269" s="231">
        <v>5</v>
      </c>
      <c r="O269" s="230">
        <v>107170</v>
      </c>
      <c r="P269" s="231">
        <v>29.8</v>
      </c>
      <c r="Q269" s="230">
        <v>71482</v>
      </c>
      <c r="R269" s="231">
        <v>29.8</v>
      </c>
      <c r="S269" s="230">
        <v>71482</v>
      </c>
      <c r="T269" s="231">
        <v>29.8</v>
      </c>
      <c r="U269" s="230">
        <v>156864</v>
      </c>
      <c r="V269" s="231">
        <v>49</v>
      </c>
      <c r="W269" s="230">
        <v>36408</v>
      </c>
      <c r="X269" s="231">
        <v>10.1</v>
      </c>
      <c r="Y269" s="230">
        <v>24054</v>
      </c>
      <c r="Z269" s="273">
        <v>10</v>
      </c>
    </row>
    <row r="270" spans="1:26" x14ac:dyDescent="0.2">
      <c r="A270" s="699"/>
      <c r="B270" s="205" t="s">
        <v>376</v>
      </c>
      <c r="C270" s="355"/>
      <c r="D270" s="375"/>
      <c r="E270" s="355"/>
      <c r="F270" s="376"/>
      <c r="G270" s="285">
        <v>10505</v>
      </c>
      <c r="H270" s="231">
        <v>35</v>
      </c>
      <c r="I270" s="230">
        <v>123343</v>
      </c>
      <c r="J270" s="273">
        <v>34.299999999999997</v>
      </c>
      <c r="K270" s="285">
        <v>92310</v>
      </c>
      <c r="L270" s="231">
        <v>38.5</v>
      </c>
      <c r="M270" s="230">
        <v>160332</v>
      </c>
      <c r="N270" s="231">
        <v>44.5</v>
      </c>
      <c r="O270" s="230">
        <v>369461</v>
      </c>
      <c r="P270" s="231">
        <v>102.6</v>
      </c>
      <c r="Q270" s="230">
        <v>216212</v>
      </c>
      <c r="R270" s="231">
        <v>90.1</v>
      </c>
      <c r="S270" s="230">
        <v>149037</v>
      </c>
      <c r="T270" s="231">
        <v>62.1</v>
      </c>
      <c r="U270" s="230">
        <v>108368</v>
      </c>
      <c r="V270" s="231">
        <v>33.9</v>
      </c>
      <c r="W270" s="230">
        <v>294892</v>
      </c>
      <c r="X270" s="231">
        <v>81.900000000000006</v>
      </c>
      <c r="Y270" s="230">
        <v>91350</v>
      </c>
      <c r="Z270" s="273">
        <v>38.1</v>
      </c>
    </row>
    <row r="271" spans="1:26" x14ac:dyDescent="0.2">
      <c r="A271" s="699"/>
      <c r="B271" s="205" t="s">
        <v>377</v>
      </c>
      <c r="C271" s="355"/>
      <c r="D271" s="375"/>
      <c r="E271" s="355"/>
      <c r="F271" s="376"/>
      <c r="G271" s="285">
        <v>546</v>
      </c>
      <c r="H271" s="231">
        <v>1.8</v>
      </c>
      <c r="I271" s="230">
        <v>11404</v>
      </c>
      <c r="J271" s="273">
        <v>3.2</v>
      </c>
      <c r="K271" s="285">
        <v>4641</v>
      </c>
      <c r="L271" s="231">
        <v>1.9</v>
      </c>
      <c r="M271" s="230">
        <v>13163</v>
      </c>
      <c r="N271" s="231">
        <v>3.7</v>
      </c>
      <c r="O271" s="230">
        <v>16422</v>
      </c>
      <c r="P271" s="231">
        <v>4.5999999999999996</v>
      </c>
      <c r="Q271" s="230">
        <v>3856</v>
      </c>
      <c r="R271" s="231">
        <v>1.6</v>
      </c>
      <c r="S271" s="230">
        <v>13393</v>
      </c>
      <c r="T271" s="231">
        <v>5.6</v>
      </c>
      <c r="U271" s="230">
        <v>6660</v>
      </c>
      <c r="V271" s="231">
        <v>2.1</v>
      </c>
      <c r="W271" s="230">
        <v>18377</v>
      </c>
      <c r="X271" s="231">
        <v>5.0999999999999996</v>
      </c>
      <c r="Y271" s="230">
        <v>8441</v>
      </c>
      <c r="Z271" s="273">
        <v>3.5</v>
      </c>
    </row>
    <row r="272" spans="1:26" x14ac:dyDescent="0.2">
      <c r="A272" s="699"/>
      <c r="B272" s="205" t="s">
        <v>378</v>
      </c>
      <c r="C272" s="355"/>
      <c r="D272" s="375"/>
      <c r="E272" s="355"/>
      <c r="F272" s="376"/>
      <c r="G272" s="285">
        <v>4502</v>
      </c>
      <c r="H272" s="231">
        <v>15</v>
      </c>
      <c r="I272" s="230">
        <v>50738</v>
      </c>
      <c r="J272" s="273">
        <v>14.1</v>
      </c>
      <c r="K272" s="285">
        <v>26703</v>
      </c>
      <c r="L272" s="231">
        <v>11.1</v>
      </c>
      <c r="M272" s="230">
        <v>57069</v>
      </c>
      <c r="N272" s="231">
        <v>15.9</v>
      </c>
      <c r="O272" s="230">
        <v>114932</v>
      </c>
      <c r="P272" s="231">
        <v>31.9</v>
      </c>
      <c r="Q272" s="230">
        <v>76650</v>
      </c>
      <c r="R272" s="231">
        <v>31.9</v>
      </c>
      <c r="S272" s="230">
        <v>45990</v>
      </c>
      <c r="T272" s="231">
        <v>19.2</v>
      </c>
      <c r="U272" s="230">
        <v>51084</v>
      </c>
      <c r="V272" s="231">
        <v>16</v>
      </c>
      <c r="W272" s="230">
        <v>113748</v>
      </c>
      <c r="X272" s="231">
        <v>31.6</v>
      </c>
      <c r="Y272" s="230">
        <v>46980</v>
      </c>
      <c r="Z272" s="273">
        <v>19.600000000000001</v>
      </c>
    </row>
    <row r="273" spans="1:26" x14ac:dyDescent="0.2">
      <c r="A273" s="699"/>
      <c r="B273" s="205" t="s">
        <v>379</v>
      </c>
      <c r="C273" s="355"/>
      <c r="D273" s="375"/>
      <c r="E273" s="355"/>
      <c r="F273" s="376"/>
      <c r="G273" s="285">
        <v>1801</v>
      </c>
      <c r="H273" s="231">
        <v>6</v>
      </c>
      <c r="I273" s="230">
        <v>139560</v>
      </c>
      <c r="J273" s="273">
        <v>38.799999999999997</v>
      </c>
      <c r="K273" s="285">
        <v>35604</v>
      </c>
      <c r="L273" s="231">
        <v>14.8</v>
      </c>
      <c r="M273" s="230">
        <v>139560</v>
      </c>
      <c r="N273" s="231">
        <v>38.799999999999997</v>
      </c>
      <c r="O273" s="230">
        <v>183960</v>
      </c>
      <c r="P273" s="231">
        <v>51.1</v>
      </c>
      <c r="Q273" s="230">
        <v>61320</v>
      </c>
      <c r="R273" s="231">
        <v>25.6</v>
      </c>
      <c r="S273" s="230">
        <v>15330</v>
      </c>
      <c r="T273" s="231">
        <v>6.4</v>
      </c>
      <c r="U273" s="230">
        <v>9288</v>
      </c>
      <c r="V273" s="231">
        <v>2.9</v>
      </c>
      <c r="W273" s="230">
        <v>15163</v>
      </c>
      <c r="X273" s="231">
        <v>4.2</v>
      </c>
      <c r="Y273" s="230">
        <v>7830</v>
      </c>
      <c r="Z273" s="273">
        <v>3.3</v>
      </c>
    </row>
    <row r="274" spans="1:26" x14ac:dyDescent="0.2">
      <c r="A274" s="699"/>
      <c r="B274" s="205" t="s">
        <v>380</v>
      </c>
      <c r="C274" s="355"/>
      <c r="D274" s="375"/>
      <c r="E274" s="377"/>
      <c r="F274" s="376"/>
      <c r="G274" s="285">
        <v>0</v>
      </c>
      <c r="H274" s="231">
        <v>0</v>
      </c>
      <c r="I274" s="230">
        <v>0</v>
      </c>
      <c r="J274" s="273">
        <v>0</v>
      </c>
      <c r="K274" s="285">
        <v>0</v>
      </c>
      <c r="L274" s="231">
        <v>0</v>
      </c>
      <c r="M274" s="230">
        <v>0</v>
      </c>
      <c r="N274" s="231">
        <v>0</v>
      </c>
      <c r="O274" s="230">
        <v>0</v>
      </c>
      <c r="P274" s="231">
        <v>0</v>
      </c>
      <c r="Q274" s="230">
        <v>0</v>
      </c>
      <c r="R274" s="231">
        <v>0</v>
      </c>
      <c r="S274" s="230">
        <v>0</v>
      </c>
      <c r="T274" s="231">
        <v>0</v>
      </c>
      <c r="U274" s="230">
        <v>0</v>
      </c>
      <c r="V274" s="231">
        <v>0</v>
      </c>
      <c r="W274" s="230">
        <v>0</v>
      </c>
      <c r="X274" s="231">
        <v>0</v>
      </c>
      <c r="Y274" s="230">
        <v>0</v>
      </c>
      <c r="Z274" s="273">
        <v>0</v>
      </c>
    </row>
    <row r="275" spans="1:26" x14ac:dyDescent="0.2">
      <c r="A275" s="699"/>
      <c r="B275" s="205" t="s">
        <v>381</v>
      </c>
      <c r="C275" s="355"/>
      <c r="D275" s="375"/>
      <c r="E275" s="377"/>
      <c r="F275" s="376"/>
      <c r="G275" s="285">
        <v>0</v>
      </c>
      <c r="H275" s="231">
        <v>0</v>
      </c>
      <c r="I275" s="230">
        <v>73966</v>
      </c>
      <c r="J275" s="273">
        <v>20.5</v>
      </c>
      <c r="K275" s="285">
        <v>0</v>
      </c>
      <c r="L275" s="231">
        <v>0</v>
      </c>
      <c r="M275" s="230">
        <v>94347</v>
      </c>
      <c r="N275" s="231">
        <v>26.2</v>
      </c>
      <c r="O275" s="230">
        <v>188740</v>
      </c>
      <c r="P275" s="231">
        <v>52.4</v>
      </c>
      <c r="Q275" s="230">
        <v>0</v>
      </c>
      <c r="R275" s="231">
        <v>0</v>
      </c>
      <c r="S275" s="230">
        <v>85693</v>
      </c>
      <c r="T275" s="231">
        <v>35.700000000000003</v>
      </c>
      <c r="U275" s="230">
        <v>0</v>
      </c>
      <c r="V275" s="231">
        <v>0</v>
      </c>
      <c r="W275" s="230">
        <v>189046</v>
      </c>
      <c r="X275" s="231">
        <v>52.5</v>
      </c>
      <c r="Y275" s="230">
        <v>61993</v>
      </c>
      <c r="Z275" s="273">
        <v>25.8</v>
      </c>
    </row>
    <row r="276" spans="1:26" s="20" customFormat="1" x14ac:dyDescent="0.2">
      <c r="A276" s="699"/>
      <c r="B276" s="284" t="s">
        <v>382</v>
      </c>
      <c r="C276" s="357"/>
      <c r="D276" s="378"/>
      <c r="E276" s="357"/>
      <c r="F276" s="379"/>
      <c r="G276" s="286">
        <v>83265</v>
      </c>
      <c r="H276" s="276">
        <v>277.5</v>
      </c>
      <c r="I276" s="275">
        <v>961803</v>
      </c>
      <c r="J276" s="279">
        <v>267.2</v>
      </c>
      <c r="K276" s="286">
        <v>615423</v>
      </c>
      <c r="L276" s="276">
        <v>256.39999999999998</v>
      </c>
      <c r="M276" s="275">
        <v>1091545</v>
      </c>
      <c r="N276" s="276">
        <v>303.2</v>
      </c>
      <c r="O276" s="275">
        <v>2044946</v>
      </c>
      <c r="P276" s="276">
        <v>568</v>
      </c>
      <c r="Q276" s="275">
        <v>993958</v>
      </c>
      <c r="R276" s="276">
        <v>414.1</v>
      </c>
      <c r="S276" s="275">
        <v>1006655</v>
      </c>
      <c r="T276" s="276">
        <v>419.4</v>
      </c>
      <c r="U276" s="275">
        <v>1201232</v>
      </c>
      <c r="V276" s="276">
        <v>375.4</v>
      </c>
      <c r="W276" s="275">
        <v>1569569</v>
      </c>
      <c r="X276" s="276">
        <v>436</v>
      </c>
      <c r="Y276" s="275">
        <v>740684</v>
      </c>
      <c r="Z276" s="279">
        <v>308.60000000000002</v>
      </c>
    </row>
    <row r="277" spans="1:26" s="216" customFormat="1" x14ac:dyDescent="0.2">
      <c r="A277" s="699"/>
      <c r="B277" s="361" t="s">
        <v>574</v>
      </c>
      <c r="C277" s="353"/>
      <c r="D277" s="354"/>
      <c r="E277" s="353"/>
      <c r="F277" s="354"/>
      <c r="G277" s="353" t="s">
        <v>372</v>
      </c>
      <c r="H277" s="354" t="s">
        <v>397</v>
      </c>
      <c r="I277" s="353" t="s">
        <v>372</v>
      </c>
      <c r="J277" s="354" t="s">
        <v>397</v>
      </c>
      <c r="K277" s="353" t="s">
        <v>372</v>
      </c>
      <c r="L277" s="354" t="s">
        <v>397</v>
      </c>
      <c r="M277" s="353" t="s">
        <v>372</v>
      </c>
      <c r="N277" s="354" t="s">
        <v>397</v>
      </c>
      <c r="O277" s="353" t="s">
        <v>372</v>
      </c>
      <c r="P277" s="354" t="s">
        <v>397</v>
      </c>
      <c r="Q277" s="353" t="s">
        <v>372</v>
      </c>
      <c r="R277" s="354" t="s">
        <v>397</v>
      </c>
      <c r="S277" s="353" t="s">
        <v>372</v>
      </c>
      <c r="T277" s="354" t="s">
        <v>397</v>
      </c>
      <c r="U277" s="353" t="s">
        <v>372</v>
      </c>
      <c r="V277" s="354" t="s">
        <v>397</v>
      </c>
      <c r="W277" s="353" t="s">
        <v>372</v>
      </c>
      <c r="X277" s="354" t="s">
        <v>397</v>
      </c>
      <c r="Y277" s="353" t="s">
        <v>372</v>
      </c>
      <c r="Z277" s="354" t="s">
        <v>397</v>
      </c>
    </row>
    <row r="278" spans="1:26" x14ac:dyDescent="0.2">
      <c r="A278" s="699"/>
      <c r="B278" s="362" t="s">
        <v>373</v>
      </c>
      <c r="C278" s="355"/>
      <c r="D278" s="356"/>
      <c r="E278" s="355"/>
      <c r="F278" s="356"/>
      <c r="G278" s="355">
        <f t="shared" ref="G278:Z278" si="101">G$6-G267</f>
        <v>-4260</v>
      </c>
      <c r="H278" s="356">
        <f t="shared" si="101"/>
        <v>-14.199999999999989</v>
      </c>
      <c r="I278" s="355">
        <f t="shared" si="101"/>
        <v>-77161</v>
      </c>
      <c r="J278" s="356">
        <f t="shared" si="101"/>
        <v>-21.400000000000006</v>
      </c>
      <c r="K278" s="355">
        <f t="shared" si="101"/>
        <v>-48449</v>
      </c>
      <c r="L278" s="356">
        <f t="shared" si="101"/>
        <v>-20.200000000000003</v>
      </c>
      <c r="M278" s="355">
        <f t="shared" si="101"/>
        <v>-79800</v>
      </c>
      <c r="N278" s="356">
        <f t="shared" si="101"/>
        <v>-22.099999999999994</v>
      </c>
      <c r="O278" s="355">
        <f t="shared" si="101"/>
        <v>-150952</v>
      </c>
      <c r="P278" s="356">
        <f t="shared" si="101"/>
        <v>-41.899999999999977</v>
      </c>
      <c r="Q278" s="355">
        <f t="shared" si="101"/>
        <v>-81247</v>
      </c>
      <c r="R278" s="356">
        <f t="shared" si="101"/>
        <v>-33.900000000000006</v>
      </c>
      <c r="S278" s="355">
        <f>S$6-S267</f>
        <v>-128299</v>
      </c>
      <c r="T278" s="356">
        <f t="shared" si="101"/>
        <v>-53.400000000000006</v>
      </c>
      <c r="U278" s="355">
        <f t="shared" si="101"/>
        <v>-46267</v>
      </c>
      <c r="V278" s="356">
        <f t="shared" si="101"/>
        <v>-14.5</v>
      </c>
      <c r="W278" s="355">
        <f t="shared" si="101"/>
        <v>-206380</v>
      </c>
      <c r="X278" s="356">
        <f t="shared" si="101"/>
        <v>-57.300000000000011</v>
      </c>
      <c r="Y278" s="355">
        <f t="shared" si="101"/>
        <v>-43822</v>
      </c>
      <c r="Z278" s="356">
        <f t="shared" si="101"/>
        <v>-18.299999999999983</v>
      </c>
    </row>
    <row r="279" spans="1:26" x14ac:dyDescent="0.2">
      <c r="A279" s="699"/>
      <c r="B279" s="362" t="s">
        <v>374</v>
      </c>
      <c r="C279" s="355"/>
      <c r="D279" s="356"/>
      <c r="E279" s="355"/>
      <c r="F279" s="356"/>
      <c r="G279" s="355">
        <f t="shared" ref="G279:Z279" si="102">G$7-G268</f>
        <v>-50</v>
      </c>
      <c r="H279" s="356">
        <f t="shared" si="102"/>
        <v>-9.9999999999997868E-2</v>
      </c>
      <c r="I279" s="355">
        <f t="shared" si="102"/>
        <v>-530</v>
      </c>
      <c r="J279" s="356">
        <f t="shared" si="102"/>
        <v>-0.10000000000000142</v>
      </c>
      <c r="K279" s="355">
        <f t="shared" si="102"/>
        <v>-181</v>
      </c>
      <c r="L279" s="356">
        <f t="shared" si="102"/>
        <v>-9.9999999999994316E-2</v>
      </c>
      <c r="M279" s="355">
        <f t="shared" si="102"/>
        <v>-332</v>
      </c>
      <c r="N279" s="356">
        <f t="shared" si="102"/>
        <v>-0.10000000000000142</v>
      </c>
      <c r="O279" s="355">
        <f t="shared" si="102"/>
        <v>-53</v>
      </c>
      <c r="P279" s="356">
        <f t="shared" si="102"/>
        <v>0</v>
      </c>
      <c r="Q279" s="355">
        <f t="shared" si="102"/>
        <v>-184</v>
      </c>
      <c r="R279" s="356">
        <f t="shared" si="102"/>
        <v>-9.9999999999994316E-2</v>
      </c>
      <c r="S279" s="355">
        <f t="shared" si="102"/>
        <v>-2</v>
      </c>
      <c r="T279" s="356">
        <f t="shared" si="102"/>
        <v>0</v>
      </c>
      <c r="U279" s="355">
        <f t="shared" si="102"/>
        <v>-414</v>
      </c>
      <c r="V279" s="356">
        <f t="shared" si="102"/>
        <v>-0.19999999999999574</v>
      </c>
      <c r="W279" s="355">
        <f t="shared" si="102"/>
        <v>-295</v>
      </c>
      <c r="X279" s="356">
        <f t="shared" si="102"/>
        <v>-0.10000000000000853</v>
      </c>
      <c r="Y279" s="355">
        <f t="shared" si="102"/>
        <v>-2</v>
      </c>
      <c r="Z279" s="356">
        <f t="shared" si="102"/>
        <v>0</v>
      </c>
    </row>
    <row r="280" spans="1:26" x14ac:dyDescent="0.2">
      <c r="A280" s="699"/>
      <c r="B280" s="362" t="s">
        <v>375</v>
      </c>
      <c r="C280" s="355"/>
      <c r="D280" s="356"/>
      <c r="E280" s="355"/>
      <c r="F280" s="356"/>
      <c r="G280" s="355">
        <f t="shared" ref="G280:Z280" si="103">G$8-G269</f>
        <v>0</v>
      </c>
      <c r="H280" s="356">
        <f t="shared" si="103"/>
        <v>0</v>
      </c>
      <c r="I280" s="355">
        <f t="shared" si="103"/>
        <v>0</v>
      </c>
      <c r="J280" s="356">
        <f t="shared" si="103"/>
        <v>0</v>
      </c>
      <c r="K280" s="355">
        <f t="shared" si="103"/>
        <v>0</v>
      </c>
      <c r="L280" s="356">
        <f t="shared" si="103"/>
        <v>0</v>
      </c>
      <c r="M280" s="355">
        <f t="shared" si="103"/>
        <v>0</v>
      </c>
      <c r="N280" s="356">
        <f t="shared" si="103"/>
        <v>0</v>
      </c>
      <c r="O280" s="355">
        <f t="shared" si="103"/>
        <v>0</v>
      </c>
      <c r="P280" s="356">
        <f t="shared" si="103"/>
        <v>0</v>
      </c>
      <c r="Q280" s="355">
        <f t="shared" si="103"/>
        <v>0</v>
      </c>
      <c r="R280" s="356">
        <f t="shared" si="103"/>
        <v>0</v>
      </c>
      <c r="S280" s="355">
        <f t="shared" si="103"/>
        <v>0</v>
      </c>
      <c r="T280" s="356">
        <f t="shared" si="103"/>
        <v>0</v>
      </c>
      <c r="U280" s="355">
        <f t="shared" si="103"/>
        <v>0</v>
      </c>
      <c r="V280" s="356">
        <f t="shared" si="103"/>
        <v>0</v>
      </c>
      <c r="W280" s="355">
        <f t="shared" si="103"/>
        <v>0</v>
      </c>
      <c r="X280" s="356">
        <f t="shared" si="103"/>
        <v>0</v>
      </c>
      <c r="Y280" s="355">
        <f t="shared" si="103"/>
        <v>0</v>
      </c>
      <c r="Z280" s="356">
        <f t="shared" si="103"/>
        <v>0</v>
      </c>
    </row>
    <row r="281" spans="1:26" x14ac:dyDescent="0.2">
      <c r="A281" s="699"/>
      <c r="B281" s="362" t="s">
        <v>376</v>
      </c>
      <c r="C281" s="355"/>
      <c r="D281" s="356"/>
      <c r="E281" s="355"/>
      <c r="F281" s="356"/>
      <c r="G281" s="355">
        <f t="shared" ref="G281:Z281" si="104">G$9-G270</f>
        <v>0</v>
      </c>
      <c r="H281" s="356">
        <f t="shared" si="104"/>
        <v>0</v>
      </c>
      <c r="I281" s="355">
        <f t="shared" si="104"/>
        <v>0</v>
      </c>
      <c r="J281" s="356">
        <f t="shared" si="104"/>
        <v>0</v>
      </c>
      <c r="K281" s="355">
        <f t="shared" si="104"/>
        <v>0</v>
      </c>
      <c r="L281" s="356">
        <f t="shared" si="104"/>
        <v>0</v>
      </c>
      <c r="M281" s="355">
        <f t="shared" si="104"/>
        <v>0</v>
      </c>
      <c r="N281" s="356">
        <f t="shared" si="104"/>
        <v>0</v>
      </c>
      <c r="O281" s="355">
        <f t="shared" si="104"/>
        <v>0</v>
      </c>
      <c r="P281" s="356">
        <f t="shared" si="104"/>
        <v>0</v>
      </c>
      <c r="Q281" s="355">
        <f t="shared" si="104"/>
        <v>0</v>
      </c>
      <c r="R281" s="356">
        <f t="shared" si="104"/>
        <v>0</v>
      </c>
      <c r="S281" s="355">
        <f t="shared" si="104"/>
        <v>0</v>
      </c>
      <c r="T281" s="356">
        <f t="shared" si="104"/>
        <v>0</v>
      </c>
      <c r="U281" s="355">
        <f t="shared" si="104"/>
        <v>0</v>
      </c>
      <c r="V281" s="356">
        <f t="shared" si="104"/>
        <v>0</v>
      </c>
      <c r="W281" s="355">
        <f t="shared" si="104"/>
        <v>0</v>
      </c>
      <c r="X281" s="356">
        <f t="shared" si="104"/>
        <v>0</v>
      </c>
      <c r="Y281" s="355">
        <f t="shared" si="104"/>
        <v>0</v>
      </c>
      <c r="Z281" s="356">
        <f t="shared" si="104"/>
        <v>0</v>
      </c>
    </row>
    <row r="282" spans="1:26" x14ac:dyDescent="0.2">
      <c r="A282" s="699"/>
      <c r="B282" s="362" t="s">
        <v>377</v>
      </c>
      <c r="C282" s="355"/>
      <c r="D282" s="356"/>
      <c r="E282" s="355"/>
      <c r="F282" s="356"/>
      <c r="G282" s="355">
        <f t="shared" ref="G282:Z282" si="105">G$10-G271</f>
        <v>-15</v>
      </c>
      <c r="H282" s="356">
        <f t="shared" si="105"/>
        <v>0</v>
      </c>
      <c r="I282" s="355">
        <f t="shared" si="105"/>
        <v>-32</v>
      </c>
      <c r="J282" s="356">
        <f t="shared" si="105"/>
        <v>0</v>
      </c>
      <c r="K282" s="355">
        <f t="shared" si="105"/>
        <v>-218</v>
      </c>
      <c r="L282" s="356">
        <f t="shared" si="105"/>
        <v>-9.9999999999999867E-2</v>
      </c>
      <c r="M282" s="355">
        <f t="shared" si="105"/>
        <v>-117</v>
      </c>
      <c r="N282" s="356">
        <f t="shared" si="105"/>
        <v>-0.10000000000000009</v>
      </c>
      <c r="O282" s="355">
        <f t="shared" si="105"/>
        <v>-269</v>
      </c>
      <c r="P282" s="356">
        <f t="shared" si="105"/>
        <v>-9.9999999999999645E-2</v>
      </c>
      <c r="Q282" s="355">
        <f t="shared" si="105"/>
        <v>-181</v>
      </c>
      <c r="R282" s="356">
        <f t="shared" si="105"/>
        <v>-0.10000000000000009</v>
      </c>
      <c r="S282" s="355">
        <f t="shared" si="105"/>
        <v>-229</v>
      </c>
      <c r="T282" s="356">
        <f t="shared" si="105"/>
        <v>-9.9999999999999645E-2</v>
      </c>
      <c r="U282" s="355">
        <f t="shared" si="105"/>
        <v>-32</v>
      </c>
      <c r="V282" s="356">
        <f t="shared" si="105"/>
        <v>0</v>
      </c>
      <c r="W282" s="355">
        <f t="shared" si="105"/>
        <v>-514</v>
      </c>
      <c r="X282" s="356">
        <f t="shared" si="105"/>
        <v>-9.9999999999999645E-2</v>
      </c>
      <c r="Y282" s="355">
        <f t="shared" si="105"/>
        <v>-32</v>
      </c>
      <c r="Z282" s="356">
        <f t="shared" si="105"/>
        <v>0</v>
      </c>
    </row>
    <row r="283" spans="1:26" x14ac:dyDescent="0.2">
      <c r="A283" s="699"/>
      <c r="B283" s="362" t="s">
        <v>378</v>
      </c>
      <c r="C283" s="355"/>
      <c r="D283" s="356"/>
      <c r="E283" s="355"/>
      <c r="F283" s="356"/>
      <c r="G283" s="355">
        <f t="shared" ref="G283:Z283" si="106">G$11-G272</f>
        <v>6303</v>
      </c>
      <c r="H283" s="356">
        <f t="shared" si="106"/>
        <v>21</v>
      </c>
      <c r="I283" s="355">
        <f t="shared" si="106"/>
        <v>101477</v>
      </c>
      <c r="J283" s="356">
        <f t="shared" si="106"/>
        <v>28.199999999999996</v>
      </c>
      <c r="K283" s="355">
        <f t="shared" si="106"/>
        <v>62307</v>
      </c>
      <c r="L283" s="356">
        <f t="shared" si="106"/>
        <v>26</v>
      </c>
      <c r="M283" s="355">
        <f t="shared" si="106"/>
        <v>95146</v>
      </c>
      <c r="N283" s="356">
        <f t="shared" si="106"/>
        <v>26.4</v>
      </c>
      <c r="O283" s="355">
        <f t="shared" si="106"/>
        <v>161019</v>
      </c>
      <c r="P283" s="356">
        <f t="shared" si="106"/>
        <v>44.800000000000004</v>
      </c>
      <c r="Q283" s="355">
        <f t="shared" si="106"/>
        <v>107310</v>
      </c>
      <c r="R283" s="356">
        <f t="shared" si="106"/>
        <v>44.800000000000004</v>
      </c>
      <c r="S283" s="355">
        <f t="shared" si="106"/>
        <v>137970</v>
      </c>
      <c r="T283" s="356">
        <f t="shared" si="106"/>
        <v>57.5</v>
      </c>
      <c r="U283" s="355">
        <f t="shared" si="106"/>
        <v>60372</v>
      </c>
      <c r="V283" s="356">
        <f t="shared" si="106"/>
        <v>18.799999999999997</v>
      </c>
      <c r="W283" s="355">
        <f t="shared" si="106"/>
        <v>227475</v>
      </c>
      <c r="X283" s="356">
        <f t="shared" si="106"/>
        <v>63.199999999999996</v>
      </c>
      <c r="Y283" s="355">
        <f t="shared" si="106"/>
        <v>46980</v>
      </c>
      <c r="Z283" s="356">
        <f t="shared" si="106"/>
        <v>19.5</v>
      </c>
    </row>
    <row r="284" spans="1:26" x14ac:dyDescent="0.2">
      <c r="A284" s="699"/>
      <c r="B284" s="362" t="s">
        <v>379</v>
      </c>
      <c r="C284" s="355"/>
      <c r="D284" s="356"/>
      <c r="E284" s="355"/>
      <c r="F284" s="356"/>
      <c r="G284" s="355">
        <f t="shared" ref="G284:Z284" si="107">G$12-G273</f>
        <v>0</v>
      </c>
      <c r="H284" s="356">
        <f t="shared" si="107"/>
        <v>0</v>
      </c>
      <c r="I284" s="355">
        <f t="shared" si="107"/>
        <v>0</v>
      </c>
      <c r="J284" s="356">
        <f t="shared" si="107"/>
        <v>0</v>
      </c>
      <c r="K284" s="355">
        <f t="shared" si="107"/>
        <v>0</v>
      </c>
      <c r="L284" s="356">
        <f t="shared" si="107"/>
        <v>0</v>
      </c>
      <c r="M284" s="355">
        <f t="shared" si="107"/>
        <v>0</v>
      </c>
      <c r="N284" s="356">
        <f t="shared" si="107"/>
        <v>0</v>
      </c>
      <c r="O284" s="355">
        <f t="shared" si="107"/>
        <v>0</v>
      </c>
      <c r="P284" s="356">
        <f t="shared" si="107"/>
        <v>0</v>
      </c>
      <c r="Q284" s="355">
        <f t="shared" si="107"/>
        <v>0</v>
      </c>
      <c r="R284" s="356">
        <f t="shared" si="107"/>
        <v>0</v>
      </c>
      <c r="S284" s="355">
        <f t="shared" si="107"/>
        <v>0</v>
      </c>
      <c r="T284" s="356">
        <f t="shared" si="107"/>
        <v>0</v>
      </c>
      <c r="U284" s="355">
        <f t="shared" si="107"/>
        <v>0</v>
      </c>
      <c r="V284" s="356">
        <f t="shared" si="107"/>
        <v>0</v>
      </c>
      <c r="W284" s="355">
        <f t="shared" si="107"/>
        <v>0</v>
      </c>
      <c r="X284" s="356">
        <f t="shared" si="107"/>
        <v>0</v>
      </c>
      <c r="Y284" s="355">
        <f t="shared" si="107"/>
        <v>0</v>
      </c>
      <c r="Z284" s="356">
        <f t="shared" si="107"/>
        <v>0</v>
      </c>
    </row>
    <row r="285" spans="1:26" x14ac:dyDescent="0.2">
      <c r="A285" s="699"/>
      <c r="B285" s="362" t="s">
        <v>380</v>
      </c>
      <c r="C285" s="355"/>
      <c r="D285" s="356"/>
      <c r="E285" s="355"/>
      <c r="F285" s="356"/>
      <c r="G285" s="355">
        <f t="shared" ref="G285:Z285" si="108">G$13-G274</f>
        <v>0</v>
      </c>
      <c r="H285" s="356">
        <f t="shared" si="108"/>
        <v>0</v>
      </c>
      <c r="I285" s="355">
        <f t="shared" si="108"/>
        <v>0</v>
      </c>
      <c r="J285" s="356">
        <f t="shared" si="108"/>
        <v>0</v>
      </c>
      <c r="K285" s="355">
        <f t="shared" si="108"/>
        <v>0</v>
      </c>
      <c r="L285" s="356">
        <f t="shared" si="108"/>
        <v>0</v>
      </c>
      <c r="M285" s="355">
        <f t="shared" si="108"/>
        <v>0</v>
      </c>
      <c r="N285" s="356">
        <f t="shared" si="108"/>
        <v>0</v>
      </c>
      <c r="O285" s="355">
        <f t="shared" si="108"/>
        <v>0</v>
      </c>
      <c r="P285" s="356">
        <f t="shared" si="108"/>
        <v>0</v>
      </c>
      <c r="Q285" s="355">
        <f t="shared" si="108"/>
        <v>0</v>
      </c>
      <c r="R285" s="356">
        <f t="shared" si="108"/>
        <v>0</v>
      </c>
      <c r="S285" s="355">
        <f t="shared" si="108"/>
        <v>0</v>
      </c>
      <c r="T285" s="356">
        <f t="shared" si="108"/>
        <v>0</v>
      </c>
      <c r="U285" s="355">
        <f t="shared" si="108"/>
        <v>0</v>
      </c>
      <c r="V285" s="356">
        <f t="shared" si="108"/>
        <v>0</v>
      </c>
      <c r="W285" s="355">
        <f t="shared" si="108"/>
        <v>0</v>
      </c>
      <c r="X285" s="356">
        <f t="shared" si="108"/>
        <v>0</v>
      </c>
      <c r="Y285" s="355">
        <f t="shared" si="108"/>
        <v>0</v>
      </c>
      <c r="Z285" s="356">
        <f t="shared" si="108"/>
        <v>0</v>
      </c>
    </row>
    <row r="286" spans="1:26" x14ac:dyDescent="0.2">
      <c r="A286" s="699"/>
      <c r="B286" s="362" t="s">
        <v>381</v>
      </c>
      <c r="C286" s="355"/>
      <c r="D286" s="356"/>
      <c r="E286" s="355"/>
      <c r="F286" s="356"/>
      <c r="G286" s="355">
        <f t="shared" ref="G286:Z286" si="109">G$14-G275</f>
        <v>0</v>
      </c>
      <c r="H286" s="356">
        <f t="shared" si="109"/>
        <v>0</v>
      </c>
      <c r="I286" s="355">
        <f t="shared" si="109"/>
        <v>0</v>
      </c>
      <c r="J286" s="356">
        <f t="shared" si="109"/>
        <v>0</v>
      </c>
      <c r="K286" s="355">
        <f t="shared" si="109"/>
        <v>0</v>
      </c>
      <c r="L286" s="356">
        <f t="shared" si="109"/>
        <v>0</v>
      </c>
      <c r="M286" s="355">
        <f t="shared" si="109"/>
        <v>0</v>
      </c>
      <c r="N286" s="356">
        <f t="shared" si="109"/>
        <v>0</v>
      </c>
      <c r="O286" s="355">
        <f t="shared" si="109"/>
        <v>0</v>
      </c>
      <c r="P286" s="356">
        <f t="shared" si="109"/>
        <v>0</v>
      </c>
      <c r="Q286" s="355">
        <f t="shared" si="109"/>
        <v>0</v>
      </c>
      <c r="R286" s="356">
        <f t="shared" si="109"/>
        <v>0</v>
      </c>
      <c r="S286" s="355">
        <f t="shared" si="109"/>
        <v>0</v>
      </c>
      <c r="T286" s="356">
        <f t="shared" si="109"/>
        <v>0</v>
      </c>
      <c r="U286" s="355">
        <f t="shared" si="109"/>
        <v>0</v>
      </c>
      <c r="V286" s="356">
        <f t="shared" si="109"/>
        <v>0</v>
      </c>
      <c r="W286" s="355">
        <f t="shared" si="109"/>
        <v>0</v>
      </c>
      <c r="X286" s="356">
        <f t="shared" si="109"/>
        <v>0</v>
      </c>
      <c r="Y286" s="355">
        <f t="shared" si="109"/>
        <v>0</v>
      </c>
      <c r="Z286" s="356">
        <f t="shared" si="109"/>
        <v>0</v>
      </c>
    </row>
    <row r="287" spans="1:26" s="20" customFormat="1" x14ac:dyDescent="0.2">
      <c r="A287" s="699"/>
      <c r="B287" s="363" t="s">
        <v>382</v>
      </c>
      <c r="C287" s="357"/>
      <c r="D287" s="358"/>
      <c r="E287" s="357"/>
      <c r="F287" s="358"/>
      <c r="G287" s="357">
        <f t="shared" ref="G287:Z287" si="110">G$15-G276</f>
        <v>1978</v>
      </c>
      <c r="H287" s="358">
        <f t="shared" si="110"/>
        <v>6.6000000000000227</v>
      </c>
      <c r="I287" s="357">
        <f t="shared" si="110"/>
        <v>23753</v>
      </c>
      <c r="J287" s="358">
        <f t="shared" si="110"/>
        <v>6.6000000000000227</v>
      </c>
      <c r="K287" s="357">
        <f t="shared" si="110"/>
        <v>13460</v>
      </c>
      <c r="L287" s="358">
        <f t="shared" si="110"/>
        <v>5.6000000000000227</v>
      </c>
      <c r="M287" s="357">
        <f t="shared" si="110"/>
        <v>14898</v>
      </c>
      <c r="N287" s="358">
        <f t="shared" si="110"/>
        <v>4.1000000000000227</v>
      </c>
      <c r="O287" s="357">
        <f t="shared" si="110"/>
        <v>9745</v>
      </c>
      <c r="P287" s="358">
        <f t="shared" si="110"/>
        <v>2.7000000000000455</v>
      </c>
      <c r="Q287" s="357">
        <f t="shared" si="110"/>
        <v>25698</v>
      </c>
      <c r="R287" s="358">
        <f t="shared" si="110"/>
        <v>10.799999999999955</v>
      </c>
      <c r="S287" s="357">
        <f t="shared" si="110"/>
        <v>9440</v>
      </c>
      <c r="T287" s="358">
        <f t="shared" si="110"/>
        <v>4</v>
      </c>
      <c r="U287" s="357">
        <f t="shared" si="110"/>
        <v>13659</v>
      </c>
      <c r="V287" s="358">
        <f t="shared" si="110"/>
        <v>4.3000000000000114</v>
      </c>
      <c r="W287" s="357">
        <f t="shared" si="110"/>
        <v>20286</v>
      </c>
      <c r="X287" s="358">
        <f t="shared" si="110"/>
        <v>5.6000000000000227</v>
      </c>
      <c r="Y287" s="357">
        <f t="shared" si="110"/>
        <v>3124</v>
      </c>
      <c r="Z287" s="358">
        <f t="shared" si="110"/>
        <v>1.2999999999999545</v>
      </c>
    </row>
    <row r="288" spans="1:26" s="216" customFormat="1" x14ac:dyDescent="0.2">
      <c r="A288" s="699"/>
      <c r="B288" s="352" t="s">
        <v>491</v>
      </c>
      <c r="C288" s="353"/>
      <c r="D288" s="354"/>
      <c r="E288" s="380"/>
      <c r="F288" s="354"/>
      <c r="G288" s="289" t="s">
        <v>372</v>
      </c>
      <c r="H288" s="291" t="s">
        <v>397</v>
      </c>
      <c r="I288" s="289" t="s">
        <v>372</v>
      </c>
      <c r="J288" s="291" t="s">
        <v>397</v>
      </c>
      <c r="K288" s="289" t="s">
        <v>372</v>
      </c>
      <c r="L288" s="291" t="s">
        <v>397</v>
      </c>
      <c r="M288" s="289" t="s">
        <v>372</v>
      </c>
      <c r="N288" s="291" t="s">
        <v>397</v>
      </c>
      <c r="O288" s="289" t="s">
        <v>372</v>
      </c>
      <c r="P288" s="291" t="s">
        <v>397</v>
      </c>
      <c r="Q288" s="289" t="s">
        <v>372</v>
      </c>
      <c r="R288" s="291" t="s">
        <v>397</v>
      </c>
      <c r="S288" s="289" t="s">
        <v>372</v>
      </c>
      <c r="T288" s="291" t="s">
        <v>397</v>
      </c>
      <c r="U288" s="289" t="s">
        <v>372</v>
      </c>
      <c r="V288" s="291" t="s">
        <v>397</v>
      </c>
      <c r="W288" s="289" t="s">
        <v>372</v>
      </c>
      <c r="X288" s="291" t="s">
        <v>397</v>
      </c>
      <c r="Y288" s="289" t="s">
        <v>372</v>
      </c>
      <c r="Z288" s="291" t="s">
        <v>397</v>
      </c>
    </row>
    <row r="289" spans="1:27" x14ac:dyDescent="0.2">
      <c r="A289" s="699"/>
      <c r="B289" s="272" t="s">
        <v>373</v>
      </c>
      <c r="C289" s="355"/>
      <c r="D289" s="356"/>
      <c r="E289" s="355"/>
      <c r="F289" s="356"/>
      <c r="G289" s="230">
        <f t="shared" ref="G289:Z289" si="111">G278-G253</f>
        <v>-1868</v>
      </c>
      <c r="H289" s="293">
        <f t="shared" si="111"/>
        <v>-6.1999999999999886</v>
      </c>
      <c r="I289" s="230">
        <f t="shared" si="111"/>
        <v>-40307</v>
      </c>
      <c r="J289" s="293">
        <f t="shared" si="111"/>
        <v>-11.200000000000003</v>
      </c>
      <c r="K289" s="230">
        <f t="shared" si="111"/>
        <v>-25899</v>
      </c>
      <c r="L289" s="293">
        <f t="shared" si="111"/>
        <v>-10.800000000000011</v>
      </c>
      <c r="M289" s="230">
        <f t="shared" si="111"/>
        <v>-38339</v>
      </c>
      <c r="N289" s="293">
        <f t="shared" si="111"/>
        <v>-10.599999999999994</v>
      </c>
      <c r="O289" s="230">
        <f t="shared" si="111"/>
        <v>-65054</v>
      </c>
      <c r="P289" s="293">
        <f t="shared" si="111"/>
        <v>-18</v>
      </c>
      <c r="Q289" s="230">
        <f t="shared" si="111"/>
        <v>-36086</v>
      </c>
      <c r="R289" s="293">
        <f t="shared" si="111"/>
        <v>-15</v>
      </c>
      <c r="S289" s="230">
        <f>S278-S253</f>
        <v>-71866</v>
      </c>
      <c r="T289" s="293">
        <f t="shared" si="111"/>
        <v>-29.900000000000006</v>
      </c>
      <c r="U289" s="230">
        <f t="shared" si="111"/>
        <v>-18012</v>
      </c>
      <c r="V289" s="293">
        <f t="shared" si="111"/>
        <v>-5.6000000000000227</v>
      </c>
      <c r="W289" s="230">
        <f t="shared" si="111"/>
        <v>-104752</v>
      </c>
      <c r="X289" s="293">
        <f t="shared" si="111"/>
        <v>-29.100000000000023</v>
      </c>
      <c r="Y289" s="230">
        <f t="shared" si="111"/>
        <v>-14701</v>
      </c>
      <c r="Z289" s="293">
        <f t="shared" si="111"/>
        <v>-6.1999999999999886</v>
      </c>
    </row>
    <row r="290" spans="1:27" x14ac:dyDescent="0.2">
      <c r="A290" s="699"/>
      <c r="B290" s="272" t="s">
        <v>374</v>
      </c>
      <c r="C290" s="355"/>
      <c r="D290" s="356"/>
      <c r="E290" s="355"/>
      <c r="F290" s="356"/>
      <c r="G290" s="230">
        <f t="shared" ref="G290:Z290" si="112">G279-G254</f>
        <v>-19</v>
      </c>
      <c r="H290" s="293">
        <f t="shared" si="112"/>
        <v>0</v>
      </c>
      <c r="I290" s="230">
        <f t="shared" si="112"/>
        <v>-158</v>
      </c>
      <c r="J290" s="293">
        <f t="shared" si="112"/>
        <v>0</v>
      </c>
      <c r="K290" s="230">
        <f t="shared" si="112"/>
        <v>-57</v>
      </c>
      <c r="L290" s="293">
        <f t="shared" si="112"/>
        <v>0</v>
      </c>
      <c r="M290" s="230">
        <f t="shared" si="112"/>
        <v>-89</v>
      </c>
      <c r="N290" s="293">
        <f t="shared" si="112"/>
        <v>0</v>
      </c>
      <c r="O290" s="230">
        <f t="shared" si="112"/>
        <v>-8</v>
      </c>
      <c r="P290" s="293">
        <f t="shared" si="112"/>
        <v>0</v>
      </c>
      <c r="Q290" s="230">
        <f t="shared" si="112"/>
        <v>-53</v>
      </c>
      <c r="R290" s="293">
        <f t="shared" si="112"/>
        <v>0</v>
      </c>
      <c r="S290" s="230">
        <f t="shared" si="112"/>
        <v>0</v>
      </c>
      <c r="T290" s="293">
        <f t="shared" si="112"/>
        <v>0</v>
      </c>
      <c r="U290" s="230">
        <f t="shared" si="112"/>
        <v>-126</v>
      </c>
      <c r="V290" s="293">
        <f t="shared" si="112"/>
        <v>-9.9999999999994316E-2</v>
      </c>
      <c r="W290" s="230">
        <f t="shared" si="112"/>
        <v>-108</v>
      </c>
      <c r="X290" s="293">
        <f t="shared" si="112"/>
        <v>0</v>
      </c>
      <c r="Y290" s="230">
        <f t="shared" si="112"/>
        <v>-1</v>
      </c>
      <c r="Z290" s="293">
        <f t="shared" si="112"/>
        <v>0</v>
      </c>
    </row>
    <row r="291" spans="1:27" x14ac:dyDescent="0.2">
      <c r="A291" s="699"/>
      <c r="B291" s="272" t="s">
        <v>375</v>
      </c>
      <c r="C291" s="355"/>
      <c r="D291" s="356"/>
      <c r="E291" s="355"/>
      <c r="F291" s="356"/>
      <c r="G291" s="230">
        <f t="shared" ref="G291:Z291" si="113">G280-G255</f>
        <v>0</v>
      </c>
      <c r="H291" s="293">
        <f t="shared" si="113"/>
        <v>0</v>
      </c>
      <c r="I291" s="230">
        <f t="shared" si="113"/>
        <v>0</v>
      </c>
      <c r="J291" s="293">
        <f t="shared" si="113"/>
        <v>0</v>
      </c>
      <c r="K291" s="230">
        <f t="shared" si="113"/>
        <v>0</v>
      </c>
      <c r="L291" s="293">
        <f t="shared" si="113"/>
        <v>0</v>
      </c>
      <c r="M291" s="230">
        <f t="shared" si="113"/>
        <v>0</v>
      </c>
      <c r="N291" s="293">
        <f t="shared" si="113"/>
        <v>0</v>
      </c>
      <c r="O291" s="230">
        <f t="shared" si="113"/>
        <v>0</v>
      </c>
      <c r="P291" s="293">
        <f t="shared" si="113"/>
        <v>0</v>
      </c>
      <c r="Q291" s="230">
        <f t="shared" si="113"/>
        <v>0</v>
      </c>
      <c r="R291" s="293">
        <f t="shared" si="113"/>
        <v>0</v>
      </c>
      <c r="S291" s="230">
        <f t="shared" si="113"/>
        <v>0</v>
      </c>
      <c r="T291" s="293">
        <f t="shared" si="113"/>
        <v>0</v>
      </c>
      <c r="U291" s="230">
        <f t="shared" si="113"/>
        <v>0</v>
      </c>
      <c r="V291" s="293">
        <f t="shared" si="113"/>
        <v>0</v>
      </c>
      <c r="W291" s="230">
        <f t="shared" si="113"/>
        <v>0</v>
      </c>
      <c r="X291" s="293">
        <f t="shared" si="113"/>
        <v>0</v>
      </c>
      <c r="Y291" s="230">
        <f t="shared" si="113"/>
        <v>0</v>
      </c>
      <c r="Z291" s="293">
        <f t="shared" si="113"/>
        <v>0</v>
      </c>
    </row>
    <row r="292" spans="1:27" x14ac:dyDescent="0.2">
      <c r="A292" s="699"/>
      <c r="B292" s="272" t="s">
        <v>376</v>
      </c>
      <c r="C292" s="355"/>
      <c r="D292" s="356"/>
      <c r="E292" s="355"/>
      <c r="F292" s="356"/>
      <c r="G292" s="230">
        <f t="shared" ref="G292:Z292" si="114">G281-G256</f>
        <v>0</v>
      </c>
      <c r="H292" s="293">
        <f t="shared" si="114"/>
        <v>0</v>
      </c>
      <c r="I292" s="230">
        <f t="shared" si="114"/>
        <v>0</v>
      </c>
      <c r="J292" s="293">
        <f t="shared" si="114"/>
        <v>0</v>
      </c>
      <c r="K292" s="230">
        <f t="shared" si="114"/>
        <v>0</v>
      </c>
      <c r="L292" s="293">
        <f t="shared" si="114"/>
        <v>0</v>
      </c>
      <c r="M292" s="230">
        <f t="shared" si="114"/>
        <v>0</v>
      </c>
      <c r="N292" s="293">
        <f t="shared" si="114"/>
        <v>0</v>
      </c>
      <c r="O292" s="230">
        <f t="shared" si="114"/>
        <v>0</v>
      </c>
      <c r="P292" s="293">
        <f t="shared" si="114"/>
        <v>0</v>
      </c>
      <c r="Q292" s="230">
        <f t="shared" si="114"/>
        <v>0</v>
      </c>
      <c r="R292" s="293">
        <f t="shared" si="114"/>
        <v>0</v>
      </c>
      <c r="S292" s="230">
        <f t="shared" si="114"/>
        <v>0</v>
      </c>
      <c r="T292" s="293">
        <f t="shared" si="114"/>
        <v>0</v>
      </c>
      <c r="U292" s="230">
        <f t="shared" si="114"/>
        <v>0</v>
      </c>
      <c r="V292" s="293">
        <f t="shared" si="114"/>
        <v>0</v>
      </c>
      <c r="W292" s="230">
        <f t="shared" si="114"/>
        <v>0</v>
      </c>
      <c r="X292" s="293">
        <f t="shared" si="114"/>
        <v>0</v>
      </c>
      <c r="Y292" s="230">
        <f t="shared" si="114"/>
        <v>0</v>
      </c>
      <c r="Z292" s="293">
        <f t="shared" si="114"/>
        <v>0</v>
      </c>
    </row>
    <row r="293" spans="1:27" x14ac:dyDescent="0.2">
      <c r="A293" s="699"/>
      <c r="B293" s="272" t="s">
        <v>377</v>
      </c>
      <c r="C293" s="355"/>
      <c r="D293" s="356"/>
      <c r="E293" s="355"/>
      <c r="F293" s="356"/>
      <c r="G293" s="230">
        <f t="shared" ref="G293:Z293" si="115">G282-G257</f>
        <v>-7</v>
      </c>
      <c r="H293" s="293">
        <f t="shared" si="115"/>
        <v>0</v>
      </c>
      <c r="I293" s="230">
        <f t="shared" si="115"/>
        <v>-28</v>
      </c>
      <c r="J293" s="293">
        <f t="shared" si="115"/>
        <v>0</v>
      </c>
      <c r="K293" s="230">
        <f t="shared" si="115"/>
        <v>-114</v>
      </c>
      <c r="L293" s="293">
        <f t="shared" si="115"/>
        <v>0</v>
      </c>
      <c r="M293" s="230">
        <f t="shared" si="115"/>
        <v>-113</v>
      </c>
      <c r="N293" s="293">
        <f t="shared" si="115"/>
        <v>-0.10000000000000009</v>
      </c>
      <c r="O293" s="230">
        <f t="shared" si="115"/>
        <v>-115</v>
      </c>
      <c r="P293" s="293">
        <f t="shared" si="115"/>
        <v>-9.9999999999999645E-2</v>
      </c>
      <c r="Q293" s="230">
        <f t="shared" si="115"/>
        <v>-77</v>
      </c>
      <c r="R293" s="293">
        <f t="shared" si="115"/>
        <v>0</v>
      </c>
      <c r="S293" s="230">
        <f t="shared" si="115"/>
        <v>-127</v>
      </c>
      <c r="T293" s="293">
        <f t="shared" si="115"/>
        <v>-9.9999999999999645E-2</v>
      </c>
      <c r="U293" s="230">
        <f t="shared" si="115"/>
        <v>-12</v>
      </c>
      <c r="V293" s="293">
        <f t="shared" si="115"/>
        <v>0</v>
      </c>
      <c r="W293" s="230">
        <f t="shared" si="115"/>
        <v>-257</v>
      </c>
      <c r="X293" s="293">
        <f t="shared" si="115"/>
        <v>-9.9999999999999645E-2</v>
      </c>
      <c r="Y293" s="230">
        <f t="shared" si="115"/>
        <v>-10</v>
      </c>
      <c r="Z293" s="293">
        <f t="shared" si="115"/>
        <v>0</v>
      </c>
    </row>
    <row r="294" spans="1:27" x14ac:dyDescent="0.2">
      <c r="A294" s="699"/>
      <c r="B294" s="272" t="s">
        <v>378</v>
      </c>
      <c r="C294" s="355"/>
      <c r="D294" s="356"/>
      <c r="E294" s="355"/>
      <c r="F294" s="356"/>
      <c r="G294" s="230">
        <f t="shared" ref="G294:Z294" si="116">G283-G258</f>
        <v>2702</v>
      </c>
      <c r="H294" s="293">
        <f t="shared" si="116"/>
        <v>9</v>
      </c>
      <c r="I294" s="230">
        <f t="shared" si="116"/>
        <v>50739</v>
      </c>
      <c r="J294" s="293">
        <f t="shared" si="116"/>
        <v>14.099999999999998</v>
      </c>
      <c r="K294" s="230">
        <f t="shared" si="116"/>
        <v>32637</v>
      </c>
      <c r="L294" s="293">
        <f t="shared" si="116"/>
        <v>13.599999999999998</v>
      </c>
      <c r="M294" s="230">
        <f t="shared" si="116"/>
        <v>44408</v>
      </c>
      <c r="N294" s="293">
        <f t="shared" si="116"/>
        <v>12.3</v>
      </c>
      <c r="O294" s="230">
        <f t="shared" si="116"/>
        <v>69028</v>
      </c>
      <c r="P294" s="293">
        <f t="shared" si="116"/>
        <v>19.200000000000003</v>
      </c>
      <c r="Q294" s="230">
        <f t="shared" si="116"/>
        <v>45990</v>
      </c>
      <c r="R294" s="293">
        <f t="shared" si="116"/>
        <v>19.200000000000003</v>
      </c>
      <c r="S294" s="230">
        <f t="shared" si="116"/>
        <v>76650</v>
      </c>
      <c r="T294" s="293">
        <f t="shared" si="116"/>
        <v>31.9</v>
      </c>
      <c r="U294" s="230">
        <f t="shared" si="116"/>
        <v>23220</v>
      </c>
      <c r="V294" s="293">
        <f t="shared" si="116"/>
        <v>7.1999999999999993</v>
      </c>
      <c r="W294" s="230">
        <f t="shared" si="116"/>
        <v>113748</v>
      </c>
      <c r="X294" s="293">
        <f t="shared" si="116"/>
        <v>31.6</v>
      </c>
      <c r="Y294" s="230">
        <f t="shared" si="116"/>
        <v>15660</v>
      </c>
      <c r="Z294" s="293">
        <f t="shared" si="116"/>
        <v>6.5</v>
      </c>
    </row>
    <row r="295" spans="1:27" x14ac:dyDescent="0.2">
      <c r="A295" s="699"/>
      <c r="B295" s="272" t="s">
        <v>379</v>
      </c>
      <c r="C295" s="355"/>
      <c r="D295" s="356"/>
      <c r="E295" s="355"/>
      <c r="F295" s="356"/>
      <c r="G295" s="230">
        <f t="shared" ref="G295:Z295" si="117">G284-G259</f>
        <v>0</v>
      </c>
      <c r="H295" s="293">
        <f t="shared" si="117"/>
        <v>0</v>
      </c>
      <c r="I295" s="230">
        <f t="shared" si="117"/>
        <v>0</v>
      </c>
      <c r="J295" s="293">
        <f t="shared" si="117"/>
        <v>0</v>
      </c>
      <c r="K295" s="230">
        <f t="shared" si="117"/>
        <v>0</v>
      </c>
      <c r="L295" s="293">
        <f t="shared" si="117"/>
        <v>0</v>
      </c>
      <c r="M295" s="230">
        <f t="shared" si="117"/>
        <v>0</v>
      </c>
      <c r="N295" s="293">
        <f t="shared" si="117"/>
        <v>0</v>
      </c>
      <c r="O295" s="230">
        <f t="shared" si="117"/>
        <v>0</v>
      </c>
      <c r="P295" s="293">
        <f t="shared" si="117"/>
        <v>0</v>
      </c>
      <c r="Q295" s="230">
        <f t="shared" si="117"/>
        <v>0</v>
      </c>
      <c r="R295" s="293">
        <f t="shared" si="117"/>
        <v>0</v>
      </c>
      <c r="S295" s="230">
        <f t="shared" si="117"/>
        <v>0</v>
      </c>
      <c r="T295" s="293">
        <f t="shared" si="117"/>
        <v>0</v>
      </c>
      <c r="U295" s="230">
        <f t="shared" si="117"/>
        <v>0</v>
      </c>
      <c r="V295" s="293">
        <f t="shared" si="117"/>
        <v>0</v>
      </c>
      <c r="W295" s="230">
        <f t="shared" si="117"/>
        <v>0</v>
      </c>
      <c r="X295" s="293">
        <f t="shared" si="117"/>
        <v>0</v>
      </c>
      <c r="Y295" s="230">
        <f t="shared" si="117"/>
        <v>0</v>
      </c>
      <c r="Z295" s="293">
        <f t="shared" si="117"/>
        <v>0</v>
      </c>
    </row>
    <row r="296" spans="1:27" x14ac:dyDescent="0.2">
      <c r="A296" s="699"/>
      <c r="B296" s="272" t="s">
        <v>380</v>
      </c>
      <c r="C296" s="355"/>
      <c r="D296" s="356"/>
      <c r="E296" s="355"/>
      <c r="F296" s="356"/>
      <c r="G296" s="230">
        <f t="shared" ref="G296:Z296" si="118">G285-G260</f>
        <v>0</v>
      </c>
      <c r="H296" s="293">
        <f t="shared" si="118"/>
        <v>0</v>
      </c>
      <c r="I296" s="230">
        <f t="shared" si="118"/>
        <v>0</v>
      </c>
      <c r="J296" s="293">
        <f t="shared" si="118"/>
        <v>0</v>
      </c>
      <c r="K296" s="230">
        <f t="shared" si="118"/>
        <v>0</v>
      </c>
      <c r="L296" s="293">
        <f t="shared" si="118"/>
        <v>0</v>
      </c>
      <c r="M296" s="230">
        <f t="shared" si="118"/>
        <v>0</v>
      </c>
      <c r="N296" s="293">
        <f t="shared" si="118"/>
        <v>0</v>
      </c>
      <c r="O296" s="230">
        <f t="shared" si="118"/>
        <v>0</v>
      </c>
      <c r="P296" s="293">
        <f t="shared" si="118"/>
        <v>0</v>
      </c>
      <c r="Q296" s="230">
        <f t="shared" si="118"/>
        <v>0</v>
      </c>
      <c r="R296" s="293">
        <f t="shared" si="118"/>
        <v>0</v>
      </c>
      <c r="S296" s="230">
        <f t="shared" si="118"/>
        <v>0</v>
      </c>
      <c r="T296" s="293">
        <f t="shared" si="118"/>
        <v>0</v>
      </c>
      <c r="U296" s="230">
        <f t="shared" si="118"/>
        <v>0</v>
      </c>
      <c r="V296" s="293">
        <f t="shared" si="118"/>
        <v>0</v>
      </c>
      <c r="W296" s="230">
        <f t="shared" si="118"/>
        <v>0</v>
      </c>
      <c r="X296" s="293">
        <f t="shared" si="118"/>
        <v>0</v>
      </c>
      <c r="Y296" s="230">
        <f t="shared" si="118"/>
        <v>0</v>
      </c>
      <c r="Z296" s="293">
        <f t="shared" si="118"/>
        <v>0</v>
      </c>
    </row>
    <row r="297" spans="1:27" x14ac:dyDescent="0.2">
      <c r="A297" s="699"/>
      <c r="B297" s="272" t="s">
        <v>381</v>
      </c>
      <c r="C297" s="355"/>
      <c r="D297" s="356"/>
      <c r="E297" s="355"/>
      <c r="F297" s="356"/>
      <c r="G297" s="230">
        <f t="shared" ref="G297:Z297" si="119">G286-G261</f>
        <v>0</v>
      </c>
      <c r="H297" s="293">
        <f t="shared" si="119"/>
        <v>0</v>
      </c>
      <c r="I297" s="230">
        <f t="shared" si="119"/>
        <v>0</v>
      </c>
      <c r="J297" s="293">
        <f t="shared" si="119"/>
        <v>0</v>
      </c>
      <c r="K297" s="230">
        <f t="shared" si="119"/>
        <v>0</v>
      </c>
      <c r="L297" s="293">
        <f t="shared" si="119"/>
        <v>0</v>
      </c>
      <c r="M297" s="230">
        <f t="shared" si="119"/>
        <v>0</v>
      </c>
      <c r="N297" s="293">
        <f t="shared" si="119"/>
        <v>0</v>
      </c>
      <c r="O297" s="230">
        <f t="shared" si="119"/>
        <v>0</v>
      </c>
      <c r="P297" s="293">
        <f t="shared" si="119"/>
        <v>0</v>
      </c>
      <c r="Q297" s="230">
        <f t="shared" si="119"/>
        <v>0</v>
      </c>
      <c r="R297" s="293">
        <f t="shared" si="119"/>
        <v>0</v>
      </c>
      <c r="S297" s="230">
        <f t="shared" si="119"/>
        <v>0</v>
      </c>
      <c r="T297" s="293">
        <f t="shared" si="119"/>
        <v>0</v>
      </c>
      <c r="U297" s="230">
        <f t="shared" si="119"/>
        <v>0</v>
      </c>
      <c r="V297" s="293">
        <f t="shared" si="119"/>
        <v>0</v>
      </c>
      <c r="W297" s="230">
        <f t="shared" si="119"/>
        <v>0</v>
      </c>
      <c r="X297" s="293">
        <f t="shared" si="119"/>
        <v>0</v>
      </c>
      <c r="Y297" s="230">
        <f t="shared" si="119"/>
        <v>0</v>
      </c>
      <c r="Z297" s="293">
        <f t="shared" si="119"/>
        <v>0</v>
      </c>
    </row>
    <row r="298" spans="1:27" s="20" customFormat="1" x14ac:dyDescent="0.2">
      <c r="A298" s="700"/>
      <c r="B298" s="274" t="s">
        <v>1059</v>
      </c>
      <c r="C298" s="357"/>
      <c r="D298" s="358"/>
      <c r="E298" s="357"/>
      <c r="F298" s="358"/>
      <c r="G298" s="275">
        <f>SUM(G289:G297)</f>
        <v>808</v>
      </c>
      <c r="H298" s="294">
        <f>SUM(H289:H297)</f>
        <v>2.8000000000000114</v>
      </c>
      <c r="I298" s="275">
        <f>I294</f>
        <v>50739</v>
      </c>
      <c r="J298" s="294">
        <f>J294</f>
        <v>14.099999999999998</v>
      </c>
      <c r="K298" s="275">
        <f>SUM(K289:K297)</f>
        <v>6567</v>
      </c>
      <c r="L298" s="294">
        <f>SUM(L289:L297)</f>
        <v>2.7999999999999865</v>
      </c>
      <c r="M298" s="275">
        <f>M294</f>
        <v>44408</v>
      </c>
      <c r="N298" s="294">
        <f>N294</f>
        <v>12.3</v>
      </c>
      <c r="O298" s="275">
        <f>O294</f>
        <v>69028</v>
      </c>
      <c r="P298" s="294">
        <f>P294</f>
        <v>19.200000000000003</v>
      </c>
      <c r="Q298" s="275">
        <f>SUM(Q289:Q297)</f>
        <v>9774</v>
      </c>
      <c r="R298" s="294">
        <f>SUM(R289:R297)</f>
        <v>4.2000000000000028</v>
      </c>
      <c r="S298" s="275">
        <f>S294</f>
        <v>76650</v>
      </c>
      <c r="T298" s="294">
        <f>T294</f>
        <v>31.9</v>
      </c>
      <c r="U298" s="275">
        <f>SUM(U289:U297)</f>
        <v>5070</v>
      </c>
      <c r="V298" s="294">
        <f>SUM(V289:V297)</f>
        <v>1.4999999999999822</v>
      </c>
      <c r="W298" s="275">
        <f>W294</f>
        <v>113748</v>
      </c>
      <c r="X298" s="294">
        <f>X294</f>
        <v>31.6</v>
      </c>
      <c r="Y298" s="275">
        <f>Y294</f>
        <v>15660</v>
      </c>
      <c r="Z298" s="294">
        <f>Z294</f>
        <v>6.5</v>
      </c>
    </row>
    <row r="299" spans="1:27" s="227" customFormat="1" x14ac:dyDescent="0.2">
      <c r="A299" s="386"/>
      <c r="B299" s="195"/>
      <c r="C299" s="268"/>
      <c r="D299" s="268"/>
      <c r="E299" s="268"/>
      <c r="F299" s="268"/>
      <c r="G299" s="268"/>
      <c r="H299" s="268"/>
      <c r="I299" s="268"/>
      <c r="J299" s="268"/>
      <c r="K299" s="268"/>
      <c r="L299" s="268"/>
      <c r="M299" s="268"/>
      <c r="N299" s="268"/>
      <c r="O299" s="268"/>
      <c r="P299" s="268"/>
      <c r="Q299" s="268"/>
      <c r="R299" s="268"/>
      <c r="S299" s="268"/>
      <c r="T299" s="268"/>
      <c r="U299" s="268"/>
      <c r="V299" s="268"/>
      <c r="W299" s="268"/>
      <c r="X299" s="268"/>
      <c r="Y299" s="268"/>
      <c r="Z299" s="268"/>
    </row>
    <row r="300" spans="1:27" s="202" customFormat="1" ht="13.15" customHeight="1" x14ac:dyDescent="0.2">
      <c r="A300" s="698" t="s">
        <v>579</v>
      </c>
      <c r="B300" s="269" t="s">
        <v>488</v>
      </c>
      <c r="C300" s="368" t="s">
        <v>486</v>
      </c>
      <c r="D300" s="369" t="s">
        <v>487</v>
      </c>
      <c r="E300" s="368" t="s">
        <v>486</v>
      </c>
      <c r="F300" s="369" t="s">
        <v>487</v>
      </c>
      <c r="G300" s="368" t="s">
        <v>486</v>
      </c>
      <c r="H300" s="369" t="s">
        <v>487</v>
      </c>
      <c r="I300" s="304" t="s">
        <v>486</v>
      </c>
      <c r="J300" s="280" t="s">
        <v>487</v>
      </c>
      <c r="K300" s="368" t="s">
        <v>486</v>
      </c>
      <c r="L300" s="369" t="s">
        <v>487</v>
      </c>
      <c r="M300" s="304" t="s">
        <v>486</v>
      </c>
      <c r="N300" s="280" t="s">
        <v>487</v>
      </c>
      <c r="O300" s="304" t="s">
        <v>486</v>
      </c>
      <c r="P300" s="280" t="s">
        <v>487</v>
      </c>
      <c r="Q300" s="368" t="s">
        <v>486</v>
      </c>
      <c r="R300" s="369" t="s">
        <v>487</v>
      </c>
      <c r="S300" s="304" t="s">
        <v>486</v>
      </c>
      <c r="T300" s="280" t="s">
        <v>487</v>
      </c>
      <c r="U300" s="368" t="s">
        <v>486</v>
      </c>
      <c r="V300" s="369" t="s">
        <v>487</v>
      </c>
      <c r="W300" s="304" t="s">
        <v>486</v>
      </c>
      <c r="X300" s="280" t="s">
        <v>487</v>
      </c>
      <c r="Y300" s="304" t="s">
        <v>486</v>
      </c>
      <c r="Z300" s="314" t="s">
        <v>487</v>
      </c>
    </row>
    <row r="301" spans="1:27" ht="13.15" customHeight="1" x14ac:dyDescent="0.2">
      <c r="A301" s="699"/>
      <c r="B301" s="316" t="s">
        <v>583</v>
      </c>
      <c r="C301" s="372"/>
      <c r="D301" s="381"/>
      <c r="E301" s="372"/>
      <c r="F301" s="381"/>
      <c r="G301" s="372"/>
      <c r="H301" s="381"/>
      <c r="I301" s="305" t="s">
        <v>585</v>
      </c>
      <c r="J301" s="366" t="s">
        <v>584</v>
      </c>
      <c r="K301" s="372"/>
      <c r="L301" s="381"/>
      <c r="M301" s="305" t="s">
        <v>585</v>
      </c>
      <c r="N301" s="366" t="s">
        <v>584</v>
      </c>
      <c r="O301" s="305" t="s">
        <v>585</v>
      </c>
      <c r="P301" s="366" t="s">
        <v>584</v>
      </c>
      <c r="Q301" s="372"/>
      <c r="R301" s="381"/>
      <c r="S301" s="305" t="s">
        <v>585</v>
      </c>
      <c r="T301" s="366" t="s">
        <v>584</v>
      </c>
      <c r="U301" s="372"/>
      <c r="V301" s="381"/>
      <c r="W301" s="305" t="s">
        <v>585</v>
      </c>
      <c r="X301" s="366" t="s">
        <v>584</v>
      </c>
      <c r="Y301" s="305" t="s">
        <v>585</v>
      </c>
      <c r="Z301" s="366" t="s">
        <v>584</v>
      </c>
    </row>
    <row r="302" spans="1:27" s="45" customFormat="1" x14ac:dyDescent="0.2">
      <c r="A302" s="699"/>
      <c r="B302" s="316" t="s">
        <v>958</v>
      </c>
      <c r="C302" s="377"/>
      <c r="D302" s="381"/>
      <c r="E302" s="377"/>
      <c r="F302" s="381"/>
      <c r="G302" s="377"/>
      <c r="H302" s="381"/>
      <c r="I302" s="235"/>
      <c r="J302" s="366"/>
      <c r="K302" s="377"/>
      <c r="L302" s="381"/>
      <c r="M302" s="235"/>
      <c r="N302" s="366"/>
      <c r="O302" s="235"/>
      <c r="P302" s="366"/>
      <c r="Q302" s="377"/>
      <c r="R302" s="381"/>
      <c r="S302" s="235"/>
      <c r="T302" s="366"/>
      <c r="U302" s="377"/>
      <c r="V302" s="381"/>
      <c r="W302" s="235"/>
      <c r="X302" s="366"/>
      <c r="Y302" s="235"/>
      <c r="Z302" s="366"/>
      <c r="AA302" s="572"/>
    </row>
    <row r="303" spans="1:27" s="45" customFormat="1" x14ac:dyDescent="0.2">
      <c r="A303" s="699"/>
      <c r="B303" s="316" t="s">
        <v>959</v>
      </c>
      <c r="C303" s="377"/>
      <c r="D303" s="381"/>
      <c r="E303" s="377"/>
      <c r="F303" s="381"/>
      <c r="G303" s="377"/>
      <c r="H303" s="381"/>
      <c r="I303" s="235"/>
      <c r="J303" s="366"/>
      <c r="K303" s="377"/>
      <c r="L303" s="381"/>
      <c r="M303" s="235"/>
      <c r="N303" s="366"/>
      <c r="O303" s="235"/>
      <c r="P303" s="366"/>
      <c r="Q303" s="377"/>
      <c r="R303" s="381"/>
      <c r="S303" s="235"/>
      <c r="T303" s="366"/>
      <c r="U303" s="377"/>
      <c r="V303" s="381"/>
      <c r="W303" s="235"/>
      <c r="X303" s="366"/>
      <c r="Y303" s="235"/>
      <c r="Z303" s="366"/>
      <c r="AA303" s="572"/>
    </row>
    <row r="304" spans="1:27" s="45" customFormat="1" x14ac:dyDescent="0.2">
      <c r="A304" s="699"/>
      <c r="B304" s="316" t="s">
        <v>957</v>
      </c>
      <c r="C304" s="377"/>
      <c r="D304" s="381"/>
      <c r="E304" s="377"/>
      <c r="F304" s="381"/>
      <c r="G304" s="377"/>
      <c r="H304" s="381"/>
      <c r="I304" s="235"/>
      <c r="J304" s="366"/>
      <c r="K304" s="377"/>
      <c r="L304" s="381"/>
      <c r="M304" s="235"/>
      <c r="N304" s="366"/>
      <c r="O304" s="235"/>
      <c r="P304" s="366"/>
      <c r="Q304" s="377"/>
      <c r="R304" s="381"/>
      <c r="S304" s="235"/>
      <c r="T304" s="366"/>
      <c r="U304" s="377"/>
      <c r="V304" s="381"/>
      <c r="W304" s="235"/>
      <c r="X304" s="366"/>
      <c r="Y304" s="235"/>
      <c r="Z304" s="366"/>
      <c r="AA304" s="572"/>
    </row>
    <row r="305" spans="1:27" s="574" customFormat="1" x14ac:dyDescent="0.2">
      <c r="A305" s="699"/>
      <c r="B305" s="288" t="s">
        <v>489</v>
      </c>
      <c r="C305" s="353" t="s">
        <v>372</v>
      </c>
      <c r="D305" s="374" t="s">
        <v>397</v>
      </c>
      <c r="E305" s="353" t="s">
        <v>372</v>
      </c>
      <c r="F305" s="374" t="s">
        <v>397</v>
      </c>
      <c r="G305" s="353" t="s">
        <v>372</v>
      </c>
      <c r="H305" s="374" t="s">
        <v>397</v>
      </c>
      <c r="I305" s="289" t="s">
        <v>372</v>
      </c>
      <c r="J305" s="290" t="s">
        <v>397</v>
      </c>
      <c r="K305" s="353" t="s">
        <v>372</v>
      </c>
      <c r="L305" s="374" t="s">
        <v>397</v>
      </c>
      <c r="M305" s="289" t="s">
        <v>372</v>
      </c>
      <c r="N305" s="290" t="s">
        <v>397</v>
      </c>
      <c r="O305" s="289" t="s">
        <v>372</v>
      </c>
      <c r="P305" s="290" t="s">
        <v>397</v>
      </c>
      <c r="Q305" s="353" t="s">
        <v>372</v>
      </c>
      <c r="R305" s="374" t="s">
        <v>397</v>
      </c>
      <c r="S305" s="289" t="s">
        <v>372</v>
      </c>
      <c r="T305" s="290" t="s">
        <v>397</v>
      </c>
      <c r="U305" s="353" t="s">
        <v>372</v>
      </c>
      <c r="V305" s="374" t="s">
        <v>397</v>
      </c>
      <c r="W305" s="289" t="s">
        <v>372</v>
      </c>
      <c r="X305" s="290" t="s">
        <v>397</v>
      </c>
      <c r="Y305" s="289" t="s">
        <v>372</v>
      </c>
      <c r="Z305" s="290" t="s">
        <v>397</v>
      </c>
      <c r="AA305" s="573"/>
    </row>
    <row r="306" spans="1:27" s="45" customFormat="1" x14ac:dyDescent="0.2">
      <c r="A306" s="699"/>
      <c r="B306" s="577" t="s">
        <v>373</v>
      </c>
      <c r="C306" s="377"/>
      <c r="D306" s="381"/>
      <c r="E306" s="377"/>
      <c r="F306" s="381"/>
      <c r="G306" s="377"/>
      <c r="H306" s="381"/>
      <c r="I306" s="230">
        <v>351488</v>
      </c>
      <c r="J306" s="231">
        <v>97.6</v>
      </c>
      <c r="K306" s="377"/>
      <c r="L306" s="381"/>
      <c r="M306" s="230">
        <v>365126</v>
      </c>
      <c r="N306" s="231">
        <v>101.4</v>
      </c>
      <c r="O306" s="230">
        <v>436521</v>
      </c>
      <c r="P306" s="231">
        <v>121.3</v>
      </c>
      <c r="Q306" s="377"/>
      <c r="R306" s="381"/>
      <c r="S306" s="230">
        <v>317792</v>
      </c>
      <c r="T306" s="231">
        <v>132.4</v>
      </c>
      <c r="U306" s="377"/>
      <c r="V306" s="381"/>
      <c r="W306" s="230">
        <v>375473</v>
      </c>
      <c r="X306" s="231">
        <v>104.3</v>
      </c>
      <c r="Y306" s="230">
        <v>350589</v>
      </c>
      <c r="Z306" s="231">
        <v>146.1</v>
      </c>
      <c r="AA306" s="572"/>
    </row>
    <row r="307" spans="1:27" s="45" customFormat="1" x14ac:dyDescent="0.2">
      <c r="A307" s="699"/>
      <c r="B307" s="577" t="s">
        <v>374</v>
      </c>
      <c r="C307" s="377"/>
      <c r="D307" s="381"/>
      <c r="E307" s="377"/>
      <c r="F307" s="381"/>
      <c r="G307" s="377"/>
      <c r="H307" s="381"/>
      <c r="I307" s="230">
        <v>105094</v>
      </c>
      <c r="J307" s="231">
        <v>29.2</v>
      </c>
      <c r="K307" s="377"/>
      <c r="L307" s="381"/>
      <c r="M307" s="230">
        <v>137013</v>
      </c>
      <c r="N307" s="231">
        <v>38.1</v>
      </c>
      <c r="O307" s="230">
        <v>344296</v>
      </c>
      <c r="P307" s="231">
        <v>95.6</v>
      </c>
      <c r="Q307" s="377"/>
      <c r="R307" s="381"/>
      <c r="S307" s="230">
        <v>130261</v>
      </c>
      <c r="T307" s="231">
        <v>54.3</v>
      </c>
      <c r="U307" s="377"/>
      <c r="V307" s="381"/>
      <c r="W307" s="230">
        <v>239872</v>
      </c>
      <c r="X307" s="231">
        <v>66.599999999999994</v>
      </c>
      <c r="Y307" s="230">
        <v>73889</v>
      </c>
      <c r="Z307" s="231">
        <v>30.8</v>
      </c>
      <c r="AA307" s="572"/>
    </row>
    <row r="308" spans="1:27" s="45" customFormat="1" x14ac:dyDescent="0.2">
      <c r="A308" s="699"/>
      <c r="B308" s="577" t="s">
        <v>375</v>
      </c>
      <c r="C308" s="377"/>
      <c r="D308" s="381"/>
      <c r="E308" s="377"/>
      <c r="F308" s="381"/>
      <c r="G308" s="377"/>
      <c r="H308" s="381"/>
      <c r="I308" s="230">
        <v>18040</v>
      </c>
      <c r="J308" s="231">
        <v>5</v>
      </c>
      <c r="K308" s="377"/>
      <c r="L308" s="381"/>
      <c r="M308" s="230">
        <v>18040</v>
      </c>
      <c r="N308" s="231">
        <v>5</v>
      </c>
      <c r="O308" s="230">
        <v>107170</v>
      </c>
      <c r="P308" s="231">
        <v>29.8</v>
      </c>
      <c r="Q308" s="377"/>
      <c r="R308" s="381"/>
      <c r="S308" s="230">
        <v>71482</v>
      </c>
      <c r="T308" s="231">
        <v>29.8</v>
      </c>
      <c r="U308" s="377"/>
      <c r="V308" s="381"/>
      <c r="W308" s="230">
        <v>36408</v>
      </c>
      <c r="X308" s="231">
        <v>10.1</v>
      </c>
      <c r="Y308" s="230">
        <v>24054</v>
      </c>
      <c r="Z308" s="231">
        <v>10</v>
      </c>
      <c r="AA308" s="572"/>
    </row>
    <row r="309" spans="1:27" s="45" customFormat="1" x14ac:dyDescent="0.2">
      <c r="A309" s="699"/>
      <c r="B309" s="577" t="s">
        <v>376</v>
      </c>
      <c r="C309" s="377"/>
      <c r="D309" s="381"/>
      <c r="E309" s="377"/>
      <c r="F309" s="381"/>
      <c r="G309" s="377"/>
      <c r="H309" s="381"/>
      <c r="I309" s="230">
        <v>123343</v>
      </c>
      <c r="J309" s="231">
        <v>34.299999999999997</v>
      </c>
      <c r="K309" s="377"/>
      <c r="L309" s="381"/>
      <c r="M309" s="230">
        <v>160332</v>
      </c>
      <c r="N309" s="231">
        <v>44.5</v>
      </c>
      <c r="O309" s="230">
        <v>369461</v>
      </c>
      <c r="P309" s="231">
        <v>102.6</v>
      </c>
      <c r="Q309" s="377"/>
      <c r="R309" s="381"/>
      <c r="S309" s="230">
        <v>149037</v>
      </c>
      <c r="T309" s="231">
        <v>62.1</v>
      </c>
      <c r="U309" s="377"/>
      <c r="V309" s="381"/>
      <c r="W309" s="230">
        <v>294892</v>
      </c>
      <c r="X309" s="231">
        <v>81.900000000000006</v>
      </c>
      <c r="Y309" s="230">
        <v>91350</v>
      </c>
      <c r="Z309" s="231">
        <v>38.1</v>
      </c>
      <c r="AA309" s="572"/>
    </row>
    <row r="310" spans="1:27" s="45" customFormat="1" x14ac:dyDescent="0.2">
      <c r="A310" s="699"/>
      <c r="B310" s="577" t="s">
        <v>377</v>
      </c>
      <c r="C310" s="377"/>
      <c r="D310" s="381"/>
      <c r="E310" s="377"/>
      <c r="F310" s="381"/>
      <c r="G310" s="377"/>
      <c r="H310" s="381"/>
      <c r="I310" s="230">
        <v>16099</v>
      </c>
      <c r="J310" s="231">
        <v>4.5</v>
      </c>
      <c r="K310" s="377"/>
      <c r="L310" s="381"/>
      <c r="M310" s="230">
        <v>17926</v>
      </c>
      <c r="N310" s="231">
        <v>5</v>
      </c>
      <c r="O310" s="230">
        <v>21186</v>
      </c>
      <c r="P310" s="231">
        <v>5.9</v>
      </c>
      <c r="Q310" s="377"/>
      <c r="R310" s="381"/>
      <c r="S310" s="230">
        <v>14865</v>
      </c>
      <c r="T310" s="231">
        <v>6.2</v>
      </c>
      <c r="U310" s="377"/>
      <c r="V310" s="381"/>
      <c r="W310" s="230">
        <v>22554</v>
      </c>
      <c r="X310" s="231">
        <v>6.3</v>
      </c>
      <c r="Y310" s="230">
        <v>11497</v>
      </c>
      <c r="Z310" s="231">
        <v>4.8</v>
      </c>
      <c r="AA310" s="572"/>
    </row>
    <row r="311" spans="1:27" s="45" customFormat="1" x14ac:dyDescent="0.2">
      <c r="A311" s="699"/>
      <c r="B311" s="577" t="s">
        <v>378</v>
      </c>
      <c r="C311" s="377"/>
      <c r="D311" s="381"/>
      <c r="E311" s="377"/>
      <c r="F311" s="381"/>
      <c r="G311" s="377"/>
      <c r="H311" s="381"/>
      <c r="I311" s="230">
        <v>152215</v>
      </c>
      <c r="J311" s="231">
        <v>42.3</v>
      </c>
      <c r="K311" s="377"/>
      <c r="L311" s="381"/>
      <c r="M311" s="230">
        <v>152215</v>
      </c>
      <c r="N311" s="231">
        <v>42.3</v>
      </c>
      <c r="O311" s="230">
        <v>275951</v>
      </c>
      <c r="P311" s="231">
        <v>76.7</v>
      </c>
      <c r="Q311" s="377"/>
      <c r="R311" s="381"/>
      <c r="S311" s="230">
        <v>183960</v>
      </c>
      <c r="T311" s="231">
        <v>76.7</v>
      </c>
      <c r="U311" s="377"/>
      <c r="V311" s="381"/>
      <c r="W311" s="230">
        <v>341223</v>
      </c>
      <c r="X311" s="231">
        <v>94.8</v>
      </c>
      <c r="Y311" s="230">
        <v>93960</v>
      </c>
      <c r="Z311" s="231">
        <v>39.1</v>
      </c>
      <c r="AA311" s="572"/>
    </row>
    <row r="312" spans="1:27" s="45" customFormat="1" x14ac:dyDescent="0.2">
      <c r="A312" s="699"/>
      <c r="B312" s="577" t="s">
        <v>379</v>
      </c>
      <c r="C312" s="377"/>
      <c r="D312" s="381"/>
      <c r="E312" s="377"/>
      <c r="F312" s="381"/>
      <c r="G312" s="377"/>
      <c r="H312" s="381"/>
      <c r="I312" s="230">
        <v>139560</v>
      </c>
      <c r="J312" s="231">
        <v>38.799999999999997</v>
      </c>
      <c r="K312" s="377"/>
      <c r="L312" s="381"/>
      <c r="M312" s="230">
        <v>139560</v>
      </c>
      <c r="N312" s="231">
        <v>38.799999999999997</v>
      </c>
      <c r="O312" s="230">
        <v>183960</v>
      </c>
      <c r="P312" s="231">
        <v>51.1</v>
      </c>
      <c r="Q312" s="377"/>
      <c r="R312" s="381"/>
      <c r="S312" s="230">
        <v>15330</v>
      </c>
      <c r="T312" s="231">
        <v>6.4</v>
      </c>
      <c r="U312" s="377"/>
      <c r="V312" s="381"/>
      <c r="W312" s="230">
        <v>15163</v>
      </c>
      <c r="X312" s="231">
        <v>4.2</v>
      </c>
      <c r="Y312" s="230">
        <v>7830</v>
      </c>
      <c r="Z312" s="231">
        <v>3.3</v>
      </c>
      <c r="AA312" s="572"/>
    </row>
    <row r="313" spans="1:27" s="45" customFormat="1" x14ac:dyDescent="0.2">
      <c r="A313" s="699"/>
      <c r="B313" s="577" t="s">
        <v>380</v>
      </c>
      <c r="C313" s="377"/>
      <c r="D313" s="381"/>
      <c r="E313" s="377"/>
      <c r="F313" s="381"/>
      <c r="G313" s="377"/>
      <c r="H313" s="381"/>
      <c r="I313" s="230">
        <v>67239</v>
      </c>
      <c r="J313" s="231">
        <v>18.7</v>
      </c>
      <c r="K313" s="377"/>
      <c r="L313" s="381"/>
      <c r="M313" s="230">
        <v>50689</v>
      </c>
      <c r="N313" s="231">
        <v>14.1</v>
      </c>
      <c r="O313" s="230">
        <v>11334</v>
      </c>
      <c r="P313" s="231">
        <v>3.1</v>
      </c>
      <c r="Q313" s="377"/>
      <c r="R313" s="381"/>
      <c r="S313" s="230">
        <v>12954</v>
      </c>
      <c r="T313" s="231">
        <v>5.4</v>
      </c>
      <c r="U313" s="377"/>
      <c r="V313" s="381"/>
      <c r="W313" s="230">
        <v>43709</v>
      </c>
      <c r="X313" s="231">
        <v>12.1</v>
      </c>
      <c r="Y313" s="230">
        <v>16971</v>
      </c>
      <c r="Z313" s="231">
        <v>7.1</v>
      </c>
      <c r="AA313" s="572"/>
    </row>
    <row r="314" spans="1:27" s="45" customFormat="1" x14ac:dyDescent="0.2">
      <c r="A314" s="699"/>
      <c r="B314" s="577" t="s">
        <v>381</v>
      </c>
      <c r="C314" s="377"/>
      <c r="D314" s="381"/>
      <c r="E314" s="377"/>
      <c r="F314" s="381"/>
      <c r="G314" s="377"/>
      <c r="H314" s="381"/>
      <c r="I314" s="230">
        <v>60872</v>
      </c>
      <c r="J314" s="231">
        <v>16.899999999999999</v>
      </c>
      <c r="K314" s="377"/>
      <c r="L314" s="381"/>
      <c r="M314" s="230">
        <v>78014</v>
      </c>
      <c r="N314" s="231">
        <v>21.7</v>
      </c>
      <c r="O314" s="230">
        <v>152455</v>
      </c>
      <c r="P314" s="231">
        <v>42.3</v>
      </c>
      <c r="Q314" s="377"/>
      <c r="R314" s="381"/>
      <c r="S314" s="230">
        <v>68681</v>
      </c>
      <c r="T314" s="231">
        <v>28.6</v>
      </c>
      <c r="U314" s="377"/>
      <c r="V314" s="381"/>
      <c r="W314" s="230">
        <v>157350</v>
      </c>
      <c r="X314" s="231">
        <v>43.7</v>
      </c>
      <c r="Y314" s="230">
        <v>51672</v>
      </c>
      <c r="Z314" s="231">
        <v>21.5</v>
      </c>
      <c r="AA314" s="572"/>
    </row>
    <row r="315" spans="1:27" s="37" customFormat="1" x14ac:dyDescent="0.2">
      <c r="A315" s="699"/>
      <c r="B315" s="274" t="s">
        <v>382</v>
      </c>
      <c r="C315" s="578"/>
      <c r="D315" s="579"/>
      <c r="E315" s="578"/>
      <c r="F315" s="579"/>
      <c r="G315" s="578"/>
      <c r="H315" s="579"/>
      <c r="I315" s="228">
        <v>1033950</v>
      </c>
      <c r="J315" s="232">
        <v>287.2</v>
      </c>
      <c r="K315" s="580"/>
      <c r="L315" s="579"/>
      <c r="M315" s="228">
        <v>1118916</v>
      </c>
      <c r="N315" s="232">
        <v>310.8</v>
      </c>
      <c r="O315" s="228">
        <v>1902334</v>
      </c>
      <c r="P315" s="232">
        <v>528.4</v>
      </c>
      <c r="Q315" s="578"/>
      <c r="R315" s="579"/>
      <c r="S315" s="228">
        <v>964362</v>
      </c>
      <c r="T315" s="232">
        <v>401.8</v>
      </c>
      <c r="U315" s="578"/>
      <c r="V315" s="579"/>
      <c r="W315" s="228">
        <v>1526644</v>
      </c>
      <c r="X315" s="232">
        <v>424.1</v>
      </c>
      <c r="Y315" s="228">
        <v>721812</v>
      </c>
      <c r="Z315" s="232">
        <v>300.8</v>
      </c>
      <c r="AA315" s="575"/>
    </row>
    <row r="316" spans="1:27" s="574" customFormat="1" x14ac:dyDescent="0.2">
      <c r="A316" s="699"/>
      <c r="B316" s="288" t="s">
        <v>490</v>
      </c>
      <c r="C316" s="353" t="s">
        <v>372</v>
      </c>
      <c r="D316" s="374" t="s">
        <v>397</v>
      </c>
      <c r="E316" s="353" t="s">
        <v>372</v>
      </c>
      <c r="F316" s="374" t="s">
        <v>397</v>
      </c>
      <c r="G316" s="353" t="s">
        <v>372</v>
      </c>
      <c r="H316" s="374" t="s">
        <v>397</v>
      </c>
      <c r="I316" s="289" t="s">
        <v>372</v>
      </c>
      <c r="J316" s="291" t="s">
        <v>397</v>
      </c>
      <c r="K316" s="380" t="s">
        <v>372</v>
      </c>
      <c r="L316" s="374" t="s">
        <v>397</v>
      </c>
      <c r="M316" s="289" t="s">
        <v>372</v>
      </c>
      <c r="N316" s="291" t="s">
        <v>397</v>
      </c>
      <c r="O316" s="289" t="s">
        <v>372</v>
      </c>
      <c r="P316" s="291" t="s">
        <v>397</v>
      </c>
      <c r="Q316" s="353" t="s">
        <v>372</v>
      </c>
      <c r="R316" s="374" t="s">
        <v>397</v>
      </c>
      <c r="S316" s="289" t="s">
        <v>372</v>
      </c>
      <c r="T316" s="291" t="s">
        <v>397</v>
      </c>
      <c r="U316" s="353" t="s">
        <v>372</v>
      </c>
      <c r="V316" s="374" t="s">
        <v>397</v>
      </c>
      <c r="W316" s="289" t="s">
        <v>372</v>
      </c>
      <c r="X316" s="291" t="s">
        <v>397</v>
      </c>
      <c r="Y316" s="289" t="s">
        <v>372</v>
      </c>
      <c r="Z316" s="291" t="s">
        <v>397</v>
      </c>
    </row>
    <row r="317" spans="1:27" s="45" customFormat="1" x14ac:dyDescent="0.2">
      <c r="A317" s="699"/>
      <c r="B317" s="577" t="s">
        <v>373</v>
      </c>
      <c r="C317" s="355"/>
      <c r="D317" s="375"/>
      <c r="E317" s="355"/>
      <c r="F317" s="376"/>
      <c r="G317" s="384"/>
      <c r="H317" s="375"/>
      <c r="I317" s="230">
        <v>350410</v>
      </c>
      <c r="J317" s="273">
        <v>97.3</v>
      </c>
      <c r="K317" s="384"/>
      <c r="L317" s="375"/>
      <c r="M317" s="230">
        <v>364763</v>
      </c>
      <c r="N317" s="273">
        <v>101.3</v>
      </c>
      <c r="O317" s="230">
        <v>438492</v>
      </c>
      <c r="P317" s="273">
        <v>121.8</v>
      </c>
      <c r="Q317" s="355"/>
      <c r="R317" s="375"/>
      <c r="S317" s="230">
        <v>318710</v>
      </c>
      <c r="T317" s="273">
        <v>132.80000000000001</v>
      </c>
      <c r="U317" s="355"/>
      <c r="V317" s="375"/>
      <c r="W317" s="230">
        <v>377691</v>
      </c>
      <c r="X317" s="273">
        <v>104.9</v>
      </c>
      <c r="Y317" s="230">
        <v>355436</v>
      </c>
      <c r="Z317" s="273">
        <v>148.1</v>
      </c>
    </row>
    <row r="318" spans="1:27" s="45" customFormat="1" x14ac:dyDescent="0.2">
      <c r="A318" s="699"/>
      <c r="B318" s="577" t="s">
        <v>374</v>
      </c>
      <c r="C318" s="355"/>
      <c r="D318" s="375"/>
      <c r="E318" s="355"/>
      <c r="F318" s="376"/>
      <c r="G318" s="384"/>
      <c r="H318" s="375"/>
      <c r="I318" s="230">
        <v>105156</v>
      </c>
      <c r="J318" s="273">
        <v>29.2</v>
      </c>
      <c r="K318" s="384"/>
      <c r="L318" s="375"/>
      <c r="M318" s="230">
        <v>137099</v>
      </c>
      <c r="N318" s="273">
        <v>38.1</v>
      </c>
      <c r="O318" s="230">
        <v>344309</v>
      </c>
      <c r="P318" s="273">
        <v>95.6</v>
      </c>
      <c r="Q318" s="355"/>
      <c r="R318" s="375"/>
      <c r="S318" s="230">
        <v>130263</v>
      </c>
      <c r="T318" s="273">
        <v>54.3</v>
      </c>
      <c r="U318" s="355"/>
      <c r="V318" s="375"/>
      <c r="W318" s="230">
        <v>239938</v>
      </c>
      <c r="X318" s="273">
        <v>66.599999999999994</v>
      </c>
      <c r="Y318" s="230">
        <v>73891</v>
      </c>
      <c r="Z318" s="273">
        <v>30.8</v>
      </c>
    </row>
    <row r="319" spans="1:27" s="45" customFormat="1" x14ac:dyDescent="0.2">
      <c r="A319" s="699"/>
      <c r="B319" s="577" t="s">
        <v>375</v>
      </c>
      <c r="C319" s="355"/>
      <c r="D319" s="375"/>
      <c r="E319" s="355"/>
      <c r="F319" s="376"/>
      <c r="G319" s="384"/>
      <c r="H319" s="375"/>
      <c r="I319" s="230">
        <v>18040</v>
      </c>
      <c r="J319" s="273">
        <v>5</v>
      </c>
      <c r="K319" s="384"/>
      <c r="L319" s="375"/>
      <c r="M319" s="230">
        <v>18040</v>
      </c>
      <c r="N319" s="273">
        <v>5</v>
      </c>
      <c r="O319" s="230">
        <v>107170</v>
      </c>
      <c r="P319" s="273">
        <v>29.8</v>
      </c>
      <c r="Q319" s="355"/>
      <c r="R319" s="375"/>
      <c r="S319" s="230">
        <v>71482</v>
      </c>
      <c r="T319" s="273">
        <v>29.8</v>
      </c>
      <c r="U319" s="355"/>
      <c r="V319" s="375"/>
      <c r="W319" s="230">
        <v>36408</v>
      </c>
      <c r="X319" s="273">
        <v>10.1</v>
      </c>
      <c r="Y319" s="230">
        <v>24054</v>
      </c>
      <c r="Z319" s="273">
        <v>10</v>
      </c>
    </row>
    <row r="320" spans="1:27" s="45" customFormat="1" x14ac:dyDescent="0.2">
      <c r="A320" s="699"/>
      <c r="B320" s="577" t="s">
        <v>376</v>
      </c>
      <c r="C320" s="355"/>
      <c r="D320" s="375"/>
      <c r="E320" s="355"/>
      <c r="F320" s="376"/>
      <c r="G320" s="384"/>
      <c r="H320" s="375"/>
      <c r="I320" s="230">
        <v>123343</v>
      </c>
      <c r="J320" s="273">
        <v>34.299999999999997</v>
      </c>
      <c r="K320" s="384"/>
      <c r="L320" s="375"/>
      <c r="M320" s="230">
        <v>160332</v>
      </c>
      <c r="N320" s="273">
        <v>44.5</v>
      </c>
      <c r="O320" s="230">
        <v>369461</v>
      </c>
      <c r="P320" s="273">
        <v>102.6</v>
      </c>
      <c r="Q320" s="355"/>
      <c r="R320" s="375"/>
      <c r="S320" s="230">
        <v>149037</v>
      </c>
      <c r="T320" s="273">
        <v>62.1</v>
      </c>
      <c r="U320" s="355"/>
      <c r="V320" s="375"/>
      <c r="W320" s="230">
        <v>294892</v>
      </c>
      <c r="X320" s="273">
        <v>81.900000000000006</v>
      </c>
      <c r="Y320" s="230">
        <v>91350</v>
      </c>
      <c r="Z320" s="273">
        <v>38.1</v>
      </c>
    </row>
    <row r="321" spans="1:27" s="45" customFormat="1" x14ac:dyDescent="0.2">
      <c r="A321" s="699"/>
      <c r="B321" s="577" t="s">
        <v>377</v>
      </c>
      <c r="C321" s="355"/>
      <c r="D321" s="375"/>
      <c r="E321" s="355"/>
      <c r="F321" s="376"/>
      <c r="G321" s="384"/>
      <c r="H321" s="375"/>
      <c r="I321" s="230">
        <v>16096</v>
      </c>
      <c r="J321" s="273">
        <v>4.5</v>
      </c>
      <c r="K321" s="384"/>
      <c r="L321" s="375"/>
      <c r="M321" s="230">
        <v>17924</v>
      </c>
      <c r="N321" s="273">
        <v>5</v>
      </c>
      <c r="O321" s="230">
        <v>21184</v>
      </c>
      <c r="P321" s="273">
        <v>5.9</v>
      </c>
      <c r="Q321" s="355"/>
      <c r="R321" s="375"/>
      <c r="S321" s="230">
        <v>14848</v>
      </c>
      <c r="T321" s="273">
        <v>6.2</v>
      </c>
      <c r="U321" s="355"/>
      <c r="V321" s="375"/>
      <c r="W321" s="230">
        <v>22794</v>
      </c>
      <c r="X321" s="273">
        <v>6.3</v>
      </c>
      <c r="Y321" s="230">
        <v>11496</v>
      </c>
      <c r="Z321" s="273">
        <v>4.8</v>
      </c>
    </row>
    <row r="322" spans="1:27" s="45" customFormat="1" x14ac:dyDescent="0.2">
      <c r="A322" s="699"/>
      <c r="B322" s="577" t="s">
        <v>378</v>
      </c>
      <c r="C322" s="355"/>
      <c r="D322" s="375"/>
      <c r="E322" s="355"/>
      <c r="F322" s="376"/>
      <c r="G322" s="384"/>
      <c r="H322" s="375"/>
      <c r="I322" s="230">
        <v>152215</v>
      </c>
      <c r="J322" s="273">
        <v>42.3</v>
      </c>
      <c r="K322" s="384"/>
      <c r="L322" s="375"/>
      <c r="M322" s="230">
        <v>152215</v>
      </c>
      <c r="N322" s="273">
        <v>42.3</v>
      </c>
      <c r="O322" s="230">
        <v>275951</v>
      </c>
      <c r="P322" s="273">
        <v>76.7</v>
      </c>
      <c r="Q322" s="355"/>
      <c r="R322" s="375"/>
      <c r="S322" s="230">
        <v>183960</v>
      </c>
      <c r="T322" s="273">
        <v>76.7</v>
      </c>
      <c r="U322" s="355"/>
      <c r="V322" s="375"/>
      <c r="W322" s="230">
        <v>341223</v>
      </c>
      <c r="X322" s="273">
        <v>94.8</v>
      </c>
      <c r="Y322" s="230">
        <v>93960</v>
      </c>
      <c r="Z322" s="273">
        <v>39.1</v>
      </c>
    </row>
    <row r="323" spans="1:27" s="45" customFormat="1" x14ac:dyDescent="0.2">
      <c r="A323" s="699"/>
      <c r="B323" s="577" t="s">
        <v>379</v>
      </c>
      <c r="C323" s="355"/>
      <c r="D323" s="375"/>
      <c r="E323" s="355"/>
      <c r="F323" s="376"/>
      <c r="G323" s="384"/>
      <c r="H323" s="375"/>
      <c r="I323" s="230">
        <v>139560</v>
      </c>
      <c r="J323" s="273">
        <v>38.799999999999997</v>
      </c>
      <c r="K323" s="384"/>
      <c r="L323" s="375"/>
      <c r="M323" s="230">
        <v>139560</v>
      </c>
      <c r="N323" s="273">
        <v>38.799999999999997</v>
      </c>
      <c r="O323" s="230">
        <v>183960</v>
      </c>
      <c r="P323" s="273">
        <v>51.1</v>
      </c>
      <c r="Q323" s="355"/>
      <c r="R323" s="375"/>
      <c r="S323" s="230">
        <v>15330</v>
      </c>
      <c r="T323" s="273">
        <v>6.4</v>
      </c>
      <c r="U323" s="355"/>
      <c r="V323" s="375"/>
      <c r="W323" s="230">
        <v>15163</v>
      </c>
      <c r="X323" s="273">
        <v>4.2</v>
      </c>
      <c r="Y323" s="230">
        <v>7830</v>
      </c>
      <c r="Z323" s="273">
        <v>3.3</v>
      </c>
    </row>
    <row r="324" spans="1:27" s="45" customFormat="1" x14ac:dyDescent="0.2">
      <c r="A324" s="699"/>
      <c r="B324" s="577" t="s">
        <v>380</v>
      </c>
      <c r="C324" s="355"/>
      <c r="D324" s="375"/>
      <c r="E324" s="377"/>
      <c r="F324" s="376"/>
      <c r="G324" s="384"/>
      <c r="H324" s="375"/>
      <c r="I324" s="230">
        <v>53890</v>
      </c>
      <c r="J324" s="273">
        <v>15</v>
      </c>
      <c r="K324" s="384"/>
      <c r="L324" s="375"/>
      <c r="M324" s="230">
        <v>42433</v>
      </c>
      <c r="N324" s="273">
        <v>11.8</v>
      </c>
      <c r="O324" s="230">
        <v>8702</v>
      </c>
      <c r="P324" s="273">
        <v>2.4</v>
      </c>
      <c r="Q324" s="355"/>
      <c r="R324" s="375"/>
      <c r="S324" s="230">
        <v>9812</v>
      </c>
      <c r="T324" s="273">
        <v>4.0999999999999996</v>
      </c>
      <c r="U324" s="355"/>
      <c r="V324" s="375"/>
      <c r="W324" s="230">
        <v>35215</v>
      </c>
      <c r="X324" s="273">
        <v>9.8000000000000007</v>
      </c>
      <c r="Y324" s="230">
        <v>10287</v>
      </c>
      <c r="Z324" s="273">
        <v>4.3</v>
      </c>
    </row>
    <row r="325" spans="1:27" s="45" customFormat="1" x14ac:dyDescent="0.2">
      <c r="A325" s="699"/>
      <c r="B325" s="577" t="s">
        <v>381</v>
      </c>
      <c r="C325" s="355"/>
      <c r="D325" s="375"/>
      <c r="E325" s="377"/>
      <c r="F325" s="376"/>
      <c r="G325" s="384"/>
      <c r="H325" s="375"/>
      <c r="I325" s="230">
        <v>60872</v>
      </c>
      <c r="J325" s="273">
        <v>16.899999999999999</v>
      </c>
      <c r="K325" s="384"/>
      <c r="L325" s="375"/>
      <c r="M325" s="230">
        <v>78014</v>
      </c>
      <c r="N325" s="273">
        <v>21.7</v>
      </c>
      <c r="O325" s="230">
        <v>152455</v>
      </c>
      <c r="P325" s="273">
        <v>42.3</v>
      </c>
      <c r="Q325" s="355"/>
      <c r="R325" s="375"/>
      <c r="S325" s="230">
        <v>68681</v>
      </c>
      <c r="T325" s="273">
        <v>28.6</v>
      </c>
      <c r="U325" s="355"/>
      <c r="V325" s="375"/>
      <c r="W325" s="230">
        <v>157350</v>
      </c>
      <c r="X325" s="273">
        <v>43.7</v>
      </c>
      <c r="Y325" s="230">
        <v>51672</v>
      </c>
      <c r="Z325" s="273">
        <v>21.5</v>
      </c>
    </row>
    <row r="326" spans="1:27" s="37" customFormat="1" x14ac:dyDescent="0.2">
      <c r="A326" s="699"/>
      <c r="B326" s="274" t="s">
        <v>382</v>
      </c>
      <c r="C326" s="357"/>
      <c r="D326" s="378"/>
      <c r="E326" s="357"/>
      <c r="F326" s="379"/>
      <c r="G326" s="385"/>
      <c r="H326" s="378"/>
      <c r="I326" s="275">
        <v>1019582</v>
      </c>
      <c r="J326" s="279">
        <v>283.2</v>
      </c>
      <c r="K326" s="385"/>
      <c r="L326" s="378"/>
      <c r="M326" s="275">
        <v>1110382</v>
      </c>
      <c r="N326" s="279">
        <v>308.39999999999998</v>
      </c>
      <c r="O326" s="275">
        <v>1901683</v>
      </c>
      <c r="P326" s="279">
        <v>528.20000000000005</v>
      </c>
      <c r="Q326" s="357"/>
      <c r="R326" s="378"/>
      <c r="S326" s="275">
        <v>962123</v>
      </c>
      <c r="T326" s="279">
        <v>400.9</v>
      </c>
      <c r="U326" s="357"/>
      <c r="V326" s="378"/>
      <c r="W326" s="275">
        <v>1520675</v>
      </c>
      <c r="X326" s="279">
        <v>422.4</v>
      </c>
      <c r="Y326" s="275">
        <v>719976</v>
      </c>
      <c r="Z326" s="279">
        <v>300</v>
      </c>
    </row>
    <row r="327" spans="1:27" s="574" customFormat="1" x14ac:dyDescent="0.2">
      <c r="A327" s="699"/>
      <c r="B327" s="283" t="s">
        <v>491</v>
      </c>
      <c r="C327" s="353" t="s">
        <v>372</v>
      </c>
      <c r="D327" s="354" t="s">
        <v>397</v>
      </c>
      <c r="E327" s="353" t="s">
        <v>372</v>
      </c>
      <c r="F327" s="354" t="s">
        <v>397</v>
      </c>
      <c r="G327" s="353" t="s">
        <v>372</v>
      </c>
      <c r="H327" s="354" t="s">
        <v>397</v>
      </c>
      <c r="I327" s="289" t="s">
        <v>372</v>
      </c>
      <c r="J327" s="291" t="s">
        <v>397</v>
      </c>
      <c r="K327" s="353" t="s">
        <v>372</v>
      </c>
      <c r="L327" s="354" t="s">
        <v>397</v>
      </c>
      <c r="M327" s="289" t="s">
        <v>372</v>
      </c>
      <c r="N327" s="291" t="s">
        <v>397</v>
      </c>
      <c r="O327" s="289" t="s">
        <v>372</v>
      </c>
      <c r="P327" s="291" t="s">
        <v>397</v>
      </c>
      <c r="Q327" s="353" t="s">
        <v>372</v>
      </c>
      <c r="R327" s="354" t="s">
        <v>397</v>
      </c>
      <c r="S327" s="289" t="s">
        <v>372</v>
      </c>
      <c r="T327" s="291" t="s">
        <v>397</v>
      </c>
      <c r="U327" s="353" t="s">
        <v>372</v>
      </c>
      <c r="V327" s="354" t="s">
        <v>397</v>
      </c>
      <c r="W327" s="289" t="s">
        <v>372</v>
      </c>
      <c r="X327" s="291" t="s">
        <v>397</v>
      </c>
      <c r="Y327" s="289" t="s">
        <v>372</v>
      </c>
      <c r="Z327" s="291" t="s">
        <v>397</v>
      </c>
    </row>
    <row r="328" spans="1:27" s="45" customFormat="1" x14ac:dyDescent="0.2">
      <c r="A328" s="699"/>
      <c r="B328" s="577" t="s">
        <v>373</v>
      </c>
      <c r="C328" s="355"/>
      <c r="D328" s="356"/>
      <c r="E328" s="355"/>
      <c r="F328" s="356"/>
      <c r="G328" s="355"/>
      <c r="H328" s="356"/>
      <c r="I328" s="230">
        <f>I306-I317</f>
        <v>1078</v>
      </c>
      <c r="J328" s="285">
        <f>J306-J317</f>
        <v>0.29999999999999716</v>
      </c>
      <c r="K328" s="355"/>
      <c r="L328" s="356"/>
      <c r="M328" s="230">
        <f>M306-M317</f>
        <v>363</v>
      </c>
      <c r="N328" s="285">
        <f>N306-N317</f>
        <v>0.10000000000000853</v>
      </c>
      <c r="O328" s="230">
        <f>O306-O317</f>
        <v>-1971</v>
      </c>
      <c r="P328" s="285">
        <f>P306-P317</f>
        <v>-0.5</v>
      </c>
      <c r="Q328" s="355"/>
      <c r="R328" s="356"/>
      <c r="S328" s="230">
        <f>S306-S317</f>
        <v>-918</v>
      </c>
      <c r="T328" s="285">
        <f>T306-T317</f>
        <v>-0.40000000000000568</v>
      </c>
      <c r="U328" s="355"/>
      <c r="V328" s="356"/>
      <c r="W328" s="230">
        <f>W306-W317</f>
        <v>-2218</v>
      </c>
      <c r="X328" s="285">
        <f>X306-X317</f>
        <v>-0.60000000000000853</v>
      </c>
      <c r="Y328" s="230">
        <f>Y306-Y317</f>
        <v>-4847</v>
      </c>
      <c r="Z328" s="293">
        <f>Z306-Z317</f>
        <v>-2</v>
      </c>
      <c r="AA328" s="576"/>
    </row>
    <row r="329" spans="1:27" s="45" customFormat="1" x14ac:dyDescent="0.2">
      <c r="A329" s="699"/>
      <c r="B329" s="577" t="s">
        <v>374</v>
      </c>
      <c r="C329" s="355"/>
      <c r="D329" s="356"/>
      <c r="E329" s="355"/>
      <c r="F329" s="356"/>
      <c r="G329" s="355"/>
      <c r="H329" s="356"/>
      <c r="I329" s="230">
        <f t="shared" ref="I329:J336" si="120">I307-I318</f>
        <v>-62</v>
      </c>
      <c r="J329" s="285">
        <f t="shared" si="120"/>
        <v>0</v>
      </c>
      <c r="K329" s="355"/>
      <c r="L329" s="356"/>
      <c r="M329" s="230">
        <f t="shared" ref="M329:P329" si="121">M307-M318</f>
        <v>-86</v>
      </c>
      <c r="N329" s="285">
        <f t="shared" si="121"/>
        <v>0</v>
      </c>
      <c r="O329" s="230">
        <f t="shared" si="121"/>
        <v>-13</v>
      </c>
      <c r="P329" s="285">
        <f t="shared" si="121"/>
        <v>0</v>
      </c>
      <c r="Q329" s="355"/>
      <c r="R329" s="356"/>
      <c r="S329" s="230">
        <f t="shared" ref="S329:T329" si="122">S307-S318</f>
        <v>-2</v>
      </c>
      <c r="T329" s="285">
        <f t="shared" si="122"/>
        <v>0</v>
      </c>
      <c r="U329" s="355"/>
      <c r="V329" s="356"/>
      <c r="W329" s="230">
        <f t="shared" ref="W329:Z329" si="123">W307-W318</f>
        <v>-66</v>
      </c>
      <c r="X329" s="285">
        <f t="shared" si="123"/>
        <v>0</v>
      </c>
      <c r="Y329" s="230">
        <f t="shared" si="123"/>
        <v>-2</v>
      </c>
      <c r="Z329" s="293">
        <f t="shared" si="123"/>
        <v>0</v>
      </c>
      <c r="AA329" s="576"/>
    </row>
    <row r="330" spans="1:27" s="45" customFormat="1" x14ac:dyDescent="0.2">
      <c r="A330" s="699"/>
      <c r="B330" s="577" t="s">
        <v>375</v>
      </c>
      <c r="C330" s="355"/>
      <c r="D330" s="356"/>
      <c r="E330" s="355"/>
      <c r="F330" s="356"/>
      <c r="G330" s="355"/>
      <c r="H330" s="356"/>
      <c r="I330" s="230">
        <f t="shared" si="120"/>
        <v>0</v>
      </c>
      <c r="J330" s="285">
        <f t="shared" si="120"/>
        <v>0</v>
      </c>
      <c r="K330" s="355"/>
      <c r="L330" s="356"/>
      <c r="M330" s="230">
        <f t="shared" ref="M330:P330" si="124">M308-M319</f>
        <v>0</v>
      </c>
      <c r="N330" s="285">
        <f t="shared" si="124"/>
        <v>0</v>
      </c>
      <c r="O330" s="230">
        <f t="shared" si="124"/>
        <v>0</v>
      </c>
      <c r="P330" s="285">
        <f t="shared" si="124"/>
        <v>0</v>
      </c>
      <c r="Q330" s="355"/>
      <c r="R330" s="356"/>
      <c r="S330" s="230">
        <f t="shared" ref="S330:T330" si="125">S308-S319</f>
        <v>0</v>
      </c>
      <c r="T330" s="285">
        <f t="shared" si="125"/>
        <v>0</v>
      </c>
      <c r="U330" s="355"/>
      <c r="V330" s="356"/>
      <c r="W330" s="230">
        <f t="shared" ref="W330:Z330" si="126">W308-W319</f>
        <v>0</v>
      </c>
      <c r="X330" s="285">
        <f t="shared" si="126"/>
        <v>0</v>
      </c>
      <c r="Y330" s="230">
        <f t="shared" si="126"/>
        <v>0</v>
      </c>
      <c r="Z330" s="293">
        <f t="shared" si="126"/>
        <v>0</v>
      </c>
      <c r="AA330" s="576"/>
    </row>
    <row r="331" spans="1:27" s="45" customFormat="1" x14ac:dyDescent="0.2">
      <c r="A331" s="699"/>
      <c r="B331" s="577" t="s">
        <v>376</v>
      </c>
      <c r="C331" s="355"/>
      <c r="D331" s="356"/>
      <c r="E331" s="355"/>
      <c r="F331" s="356"/>
      <c r="G331" s="355"/>
      <c r="H331" s="356"/>
      <c r="I331" s="230">
        <f t="shared" si="120"/>
        <v>0</v>
      </c>
      <c r="J331" s="285">
        <f t="shared" si="120"/>
        <v>0</v>
      </c>
      <c r="K331" s="355"/>
      <c r="L331" s="356"/>
      <c r="M331" s="230">
        <f t="shared" ref="M331:P331" si="127">M309-M320</f>
        <v>0</v>
      </c>
      <c r="N331" s="285">
        <f t="shared" si="127"/>
        <v>0</v>
      </c>
      <c r="O331" s="230">
        <f t="shared" si="127"/>
        <v>0</v>
      </c>
      <c r="P331" s="285">
        <f t="shared" si="127"/>
        <v>0</v>
      </c>
      <c r="Q331" s="355"/>
      <c r="R331" s="356"/>
      <c r="S331" s="230">
        <f t="shared" ref="S331:T331" si="128">S309-S320</f>
        <v>0</v>
      </c>
      <c r="T331" s="285">
        <f t="shared" si="128"/>
        <v>0</v>
      </c>
      <c r="U331" s="355"/>
      <c r="V331" s="356"/>
      <c r="W331" s="230">
        <f t="shared" ref="W331:Z331" si="129">W309-W320</f>
        <v>0</v>
      </c>
      <c r="X331" s="285">
        <f t="shared" si="129"/>
        <v>0</v>
      </c>
      <c r="Y331" s="230">
        <f t="shared" si="129"/>
        <v>0</v>
      </c>
      <c r="Z331" s="293">
        <f t="shared" si="129"/>
        <v>0</v>
      </c>
      <c r="AA331" s="576"/>
    </row>
    <row r="332" spans="1:27" s="45" customFormat="1" x14ac:dyDescent="0.2">
      <c r="A332" s="699"/>
      <c r="B332" s="577" t="s">
        <v>377</v>
      </c>
      <c r="C332" s="355"/>
      <c r="D332" s="356"/>
      <c r="E332" s="355"/>
      <c r="F332" s="356"/>
      <c r="G332" s="355"/>
      <c r="H332" s="356"/>
      <c r="I332" s="230">
        <f t="shared" si="120"/>
        <v>3</v>
      </c>
      <c r="J332" s="285">
        <f t="shared" si="120"/>
        <v>0</v>
      </c>
      <c r="K332" s="355"/>
      <c r="L332" s="356"/>
      <c r="M332" s="230">
        <f t="shared" ref="M332:P332" si="130">M310-M321</f>
        <v>2</v>
      </c>
      <c r="N332" s="285">
        <f t="shared" si="130"/>
        <v>0</v>
      </c>
      <c r="O332" s="230">
        <f t="shared" si="130"/>
        <v>2</v>
      </c>
      <c r="P332" s="285">
        <f t="shared" si="130"/>
        <v>0</v>
      </c>
      <c r="Q332" s="355"/>
      <c r="R332" s="356"/>
      <c r="S332" s="230">
        <f t="shared" ref="S332:T332" si="131">S310-S321</f>
        <v>17</v>
      </c>
      <c r="T332" s="285">
        <f t="shared" si="131"/>
        <v>0</v>
      </c>
      <c r="U332" s="355"/>
      <c r="V332" s="356"/>
      <c r="W332" s="230">
        <f t="shared" ref="W332:Z332" si="132">W310-W321</f>
        <v>-240</v>
      </c>
      <c r="X332" s="285">
        <f t="shared" si="132"/>
        <v>0</v>
      </c>
      <c r="Y332" s="230">
        <f t="shared" si="132"/>
        <v>1</v>
      </c>
      <c r="Z332" s="293">
        <f t="shared" si="132"/>
        <v>0</v>
      </c>
      <c r="AA332" s="576"/>
    </row>
    <row r="333" spans="1:27" x14ac:dyDescent="0.2">
      <c r="A333" s="699"/>
      <c r="B333" s="577" t="s">
        <v>378</v>
      </c>
      <c r="C333" s="355"/>
      <c r="D333" s="356"/>
      <c r="E333" s="355"/>
      <c r="F333" s="356"/>
      <c r="G333" s="355"/>
      <c r="H333" s="356"/>
      <c r="I333" s="230">
        <f t="shared" si="120"/>
        <v>0</v>
      </c>
      <c r="J333" s="285">
        <f t="shared" si="120"/>
        <v>0</v>
      </c>
      <c r="K333" s="355"/>
      <c r="L333" s="356"/>
      <c r="M333" s="230">
        <f t="shared" ref="M333:P333" si="133">M311-M322</f>
        <v>0</v>
      </c>
      <c r="N333" s="285">
        <f t="shared" si="133"/>
        <v>0</v>
      </c>
      <c r="O333" s="230">
        <f t="shared" si="133"/>
        <v>0</v>
      </c>
      <c r="P333" s="285">
        <f t="shared" si="133"/>
        <v>0</v>
      </c>
      <c r="Q333" s="355"/>
      <c r="R333" s="356"/>
      <c r="S333" s="230">
        <f t="shared" ref="S333:T333" si="134">S311-S322</f>
        <v>0</v>
      </c>
      <c r="T333" s="285">
        <f t="shared" si="134"/>
        <v>0</v>
      </c>
      <c r="U333" s="355"/>
      <c r="V333" s="356"/>
      <c r="W333" s="230">
        <f t="shared" ref="W333:Z333" si="135">W311-W322</f>
        <v>0</v>
      </c>
      <c r="X333" s="285">
        <f t="shared" si="135"/>
        <v>0</v>
      </c>
      <c r="Y333" s="230">
        <f t="shared" si="135"/>
        <v>0</v>
      </c>
      <c r="Z333" s="293">
        <f t="shared" si="135"/>
        <v>0</v>
      </c>
    </row>
    <row r="334" spans="1:27" x14ac:dyDescent="0.2">
      <c r="A334" s="699"/>
      <c r="B334" s="577" t="s">
        <v>379</v>
      </c>
      <c r="C334" s="355"/>
      <c r="D334" s="356"/>
      <c r="E334" s="355"/>
      <c r="F334" s="356"/>
      <c r="G334" s="355"/>
      <c r="H334" s="356"/>
      <c r="I334" s="230">
        <f t="shared" si="120"/>
        <v>0</v>
      </c>
      <c r="J334" s="285">
        <f t="shared" si="120"/>
        <v>0</v>
      </c>
      <c r="K334" s="355"/>
      <c r="L334" s="356"/>
      <c r="M334" s="230">
        <f t="shared" ref="M334:P334" si="136">M312-M323</f>
        <v>0</v>
      </c>
      <c r="N334" s="285">
        <f t="shared" si="136"/>
        <v>0</v>
      </c>
      <c r="O334" s="230">
        <f t="shared" si="136"/>
        <v>0</v>
      </c>
      <c r="P334" s="285">
        <f t="shared" si="136"/>
        <v>0</v>
      </c>
      <c r="Q334" s="355"/>
      <c r="R334" s="356"/>
      <c r="S334" s="230">
        <f t="shared" ref="S334:T334" si="137">S312-S323</f>
        <v>0</v>
      </c>
      <c r="T334" s="285">
        <f t="shared" si="137"/>
        <v>0</v>
      </c>
      <c r="U334" s="355"/>
      <c r="V334" s="356"/>
      <c r="W334" s="230">
        <f t="shared" ref="W334:Z334" si="138">W312-W323</f>
        <v>0</v>
      </c>
      <c r="X334" s="285">
        <f t="shared" si="138"/>
        <v>0</v>
      </c>
      <c r="Y334" s="230">
        <f t="shared" si="138"/>
        <v>0</v>
      </c>
      <c r="Z334" s="293">
        <f t="shared" si="138"/>
        <v>0</v>
      </c>
    </row>
    <row r="335" spans="1:27" x14ac:dyDescent="0.2">
      <c r="A335" s="699"/>
      <c r="B335" s="577" t="s">
        <v>380</v>
      </c>
      <c r="C335" s="355"/>
      <c r="D335" s="356"/>
      <c r="E335" s="355"/>
      <c r="F335" s="356"/>
      <c r="G335" s="355"/>
      <c r="H335" s="356"/>
      <c r="I335" s="230">
        <f t="shared" si="120"/>
        <v>13349</v>
      </c>
      <c r="J335" s="285">
        <f t="shared" si="120"/>
        <v>3.6999999999999993</v>
      </c>
      <c r="K335" s="355"/>
      <c r="L335" s="356"/>
      <c r="M335" s="230">
        <f t="shared" ref="M335:P335" si="139">M313-M324</f>
        <v>8256</v>
      </c>
      <c r="N335" s="285">
        <f t="shared" si="139"/>
        <v>2.2999999999999989</v>
      </c>
      <c r="O335" s="230">
        <f t="shared" si="139"/>
        <v>2632</v>
      </c>
      <c r="P335" s="285">
        <f t="shared" si="139"/>
        <v>0.70000000000000018</v>
      </c>
      <c r="Q335" s="355"/>
      <c r="R335" s="356"/>
      <c r="S335" s="230">
        <f t="shared" ref="S335:T335" si="140">S313-S324</f>
        <v>3142</v>
      </c>
      <c r="T335" s="285">
        <f t="shared" si="140"/>
        <v>1.3000000000000007</v>
      </c>
      <c r="U335" s="355"/>
      <c r="V335" s="356"/>
      <c r="W335" s="230">
        <f t="shared" ref="W335:Z335" si="141">W313-W324</f>
        <v>8494</v>
      </c>
      <c r="X335" s="285">
        <f t="shared" si="141"/>
        <v>2.2999999999999989</v>
      </c>
      <c r="Y335" s="230">
        <f t="shared" si="141"/>
        <v>6684</v>
      </c>
      <c r="Z335" s="293">
        <f t="shared" si="141"/>
        <v>2.8</v>
      </c>
    </row>
    <row r="336" spans="1:27" x14ac:dyDescent="0.2">
      <c r="A336" s="699"/>
      <c r="B336" s="577" t="s">
        <v>381</v>
      </c>
      <c r="C336" s="355"/>
      <c r="D336" s="356"/>
      <c r="E336" s="355"/>
      <c r="F336" s="356"/>
      <c r="G336" s="355"/>
      <c r="H336" s="356"/>
      <c r="I336" s="230">
        <f t="shared" si="120"/>
        <v>0</v>
      </c>
      <c r="J336" s="285">
        <f t="shared" si="120"/>
        <v>0</v>
      </c>
      <c r="K336" s="355"/>
      <c r="L336" s="356"/>
      <c r="M336" s="230">
        <f t="shared" ref="M336:P336" si="142">M314-M325</f>
        <v>0</v>
      </c>
      <c r="N336" s="285">
        <f t="shared" si="142"/>
        <v>0</v>
      </c>
      <c r="O336" s="230">
        <f t="shared" si="142"/>
        <v>0</v>
      </c>
      <c r="P336" s="285">
        <f t="shared" si="142"/>
        <v>0</v>
      </c>
      <c r="Q336" s="355"/>
      <c r="R336" s="356"/>
      <c r="S336" s="230">
        <f t="shared" ref="S336:T336" si="143">S314-S325</f>
        <v>0</v>
      </c>
      <c r="T336" s="285">
        <f t="shared" si="143"/>
        <v>0</v>
      </c>
      <c r="U336" s="355"/>
      <c r="V336" s="356"/>
      <c r="W336" s="230">
        <f t="shared" ref="W336:Z336" si="144">W314-W325</f>
        <v>0</v>
      </c>
      <c r="X336" s="285">
        <f t="shared" si="144"/>
        <v>0</v>
      </c>
      <c r="Y336" s="230">
        <f t="shared" si="144"/>
        <v>0</v>
      </c>
      <c r="Z336" s="293">
        <f t="shared" si="144"/>
        <v>0</v>
      </c>
    </row>
    <row r="337" spans="1:26" s="20" customFormat="1" x14ac:dyDescent="0.2">
      <c r="A337" s="700"/>
      <c r="B337" s="274" t="s">
        <v>954</v>
      </c>
      <c r="C337" s="357"/>
      <c r="D337" s="358"/>
      <c r="E337" s="357"/>
      <c r="F337" s="358"/>
      <c r="G337" s="357"/>
      <c r="H337" s="358"/>
      <c r="I337" s="275">
        <f>I335</f>
        <v>13349</v>
      </c>
      <c r="J337" s="294">
        <f>J335</f>
        <v>3.6999999999999993</v>
      </c>
      <c r="K337" s="357"/>
      <c r="L337" s="358"/>
      <c r="M337" s="275">
        <f>M335</f>
        <v>8256</v>
      </c>
      <c r="N337" s="294">
        <f>N335</f>
        <v>2.2999999999999989</v>
      </c>
      <c r="O337" s="275">
        <f>O335</f>
        <v>2632</v>
      </c>
      <c r="P337" s="294">
        <f>P335</f>
        <v>0.70000000000000018</v>
      </c>
      <c r="Q337" s="357"/>
      <c r="R337" s="358"/>
      <c r="S337" s="275">
        <f>S335</f>
        <v>3142</v>
      </c>
      <c r="T337" s="294">
        <f>T335</f>
        <v>1.3000000000000007</v>
      </c>
      <c r="U337" s="357"/>
      <c r="V337" s="358"/>
      <c r="W337" s="275">
        <f>W335</f>
        <v>8494</v>
      </c>
      <c r="X337" s="294">
        <f>X335</f>
        <v>2.2999999999999989</v>
      </c>
      <c r="Y337" s="275">
        <f>Y335</f>
        <v>6684</v>
      </c>
      <c r="Z337" s="294">
        <f>Z335</f>
        <v>2.8</v>
      </c>
    </row>
    <row r="338" spans="1:26" s="227" customFormat="1" x14ac:dyDescent="0.2">
      <c r="A338" s="386"/>
      <c r="B338" s="195"/>
      <c r="C338" s="268"/>
      <c r="D338" s="268"/>
      <c r="E338" s="268"/>
      <c r="F338" s="268"/>
      <c r="G338" s="268"/>
      <c r="H338" s="268"/>
      <c r="I338" s="268"/>
      <c r="J338" s="268"/>
      <c r="K338" s="268"/>
      <c r="L338" s="268"/>
      <c r="M338" s="268"/>
      <c r="N338" s="268"/>
      <c r="O338" s="268"/>
      <c r="P338" s="268"/>
      <c r="Q338" s="268"/>
      <c r="R338" s="268"/>
      <c r="S338" s="268"/>
      <c r="T338" s="268"/>
      <c r="U338" s="268"/>
      <c r="V338" s="268"/>
      <c r="W338" s="268"/>
      <c r="X338" s="268"/>
      <c r="Y338" s="268"/>
      <c r="Z338" s="268"/>
    </row>
    <row r="339" spans="1:26" s="202" customFormat="1" ht="13.15" customHeight="1" x14ac:dyDescent="0.2">
      <c r="A339" s="698" t="s">
        <v>913</v>
      </c>
      <c r="B339" s="269" t="s">
        <v>962</v>
      </c>
      <c r="C339" s="598" t="s">
        <v>962</v>
      </c>
      <c r="D339" s="314"/>
      <c r="E339" s="598" t="s">
        <v>962</v>
      </c>
      <c r="F339" s="314"/>
      <c r="G339" s="598" t="s">
        <v>962</v>
      </c>
      <c r="H339" s="314"/>
      <c r="I339" s="598" t="s">
        <v>962</v>
      </c>
      <c r="J339" s="314"/>
      <c r="K339" s="598" t="s">
        <v>962</v>
      </c>
      <c r="L339" s="314"/>
      <c r="M339" s="598" t="s">
        <v>962</v>
      </c>
      <c r="N339" s="314"/>
      <c r="O339" s="598" t="s">
        <v>962</v>
      </c>
      <c r="P339" s="314"/>
      <c r="Q339" s="598" t="s">
        <v>962</v>
      </c>
      <c r="R339" s="314"/>
      <c r="S339" s="598" t="s">
        <v>962</v>
      </c>
      <c r="T339" s="314"/>
      <c r="U339" s="598" t="s">
        <v>962</v>
      </c>
      <c r="V339" s="314"/>
      <c r="W339" s="598" t="s">
        <v>962</v>
      </c>
      <c r="X339" s="314"/>
      <c r="Y339" s="598" t="s">
        <v>962</v>
      </c>
      <c r="Z339" s="314"/>
    </row>
    <row r="340" spans="1:26" x14ac:dyDescent="0.2">
      <c r="A340" s="699"/>
      <c r="B340" s="26" t="s">
        <v>965</v>
      </c>
      <c r="C340" s="597">
        <v>0.05</v>
      </c>
      <c r="D340" s="599">
        <v>0.05</v>
      </c>
      <c r="E340" s="597">
        <v>0.05</v>
      </c>
      <c r="F340" s="599">
        <v>0.05</v>
      </c>
      <c r="G340" s="597">
        <v>0.05</v>
      </c>
      <c r="H340" s="599">
        <v>0.05</v>
      </c>
      <c r="I340" s="597">
        <v>0.05</v>
      </c>
      <c r="J340" s="599">
        <v>0.05</v>
      </c>
      <c r="K340" s="597">
        <v>0.05</v>
      </c>
      <c r="L340" s="599">
        <v>0.05</v>
      </c>
      <c r="M340" s="597">
        <v>0.05</v>
      </c>
      <c r="N340" s="599">
        <v>0.05</v>
      </c>
      <c r="O340" s="597">
        <v>0.05</v>
      </c>
      <c r="P340" s="599">
        <v>0.05</v>
      </c>
      <c r="Q340" s="597">
        <v>0.05</v>
      </c>
      <c r="R340" s="599">
        <v>0.05</v>
      </c>
      <c r="S340" s="597">
        <v>0.05</v>
      </c>
      <c r="T340" s="599">
        <v>0.05</v>
      </c>
      <c r="U340" s="597">
        <v>0.05</v>
      </c>
      <c r="V340" s="599">
        <v>0.05</v>
      </c>
      <c r="W340" s="597">
        <v>0.05</v>
      </c>
      <c r="X340" s="599">
        <v>0.05</v>
      </c>
      <c r="Y340" s="597">
        <v>0.05</v>
      </c>
      <c r="Z340" s="599">
        <v>0.05</v>
      </c>
    </row>
    <row r="341" spans="1:26" s="216" customFormat="1" x14ac:dyDescent="0.2">
      <c r="A341" s="699"/>
      <c r="B341" s="283" t="s">
        <v>491</v>
      </c>
      <c r="C341" s="289" t="s">
        <v>372</v>
      </c>
      <c r="D341" s="291" t="s">
        <v>397</v>
      </c>
      <c r="E341" s="289" t="s">
        <v>372</v>
      </c>
      <c r="F341" s="291" t="s">
        <v>397</v>
      </c>
      <c r="G341" s="289" t="s">
        <v>372</v>
      </c>
      <c r="H341" s="291" t="s">
        <v>397</v>
      </c>
      <c r="I341" s="289" t="s">
        <v>372</v>
      </c>
      <c r="J341" s="291" t="s">
        <v>397</v>
      </c>
      <c r="K341" s="289" t="s">
        <v>372</v>
      </c>
      <c r="L341" s="291" t="s">
        <v>397</v>
      </c>
      <c r="M341" s="289" t="s">
        <v>372</v>
      </c>
      <c r="N341" s="291" t="s">
        <v>397</v>
      </c>
      <c r="O341" s="289" t="s">
        <v>372</v>
      </c>
      <c r="P341" s="291" t="s">
        <v>397</v>
      </c>
      <c r="Q341" s="289" t="s">
        <v>372</v>
      </c>
      <c r="R341" s="291" t="s">
        <v>397</v>
      </c>
      <c r="S341" s="289" t="s">
        <v>372</v>
      </c>
      <c r="T341" s="291" t="s">
        <v>397</v>
      </c>
      <c r="U341" s="289" t="s">
        <v>372</v>
      </c>
      <c r="V341" s="291" t="s">
        <v>397</v>
      </c>
      <c r="W341" s="289" t="s">
        <v>372</v>
      </c>
      <c r="X341" s="291" t="s">
        <v>397</v>
      </c>
      <c r="Y341" s="289" t="s">
        <v>372</v>
      </c>
      <c r="Z341" s="291" t="s">
        <v>397</v>
      </c>
    </row>
    <row r="342" spans="1:26" x14ac:dyDescent="0.2">
      <c r="A342" s="699"/>
      <c r="B342" s="272" t="s">
        <v>373</v>
      </c>
      <c r="C342" s="230">
        <f t="shared" ref="C342:Z342" si="145">C6*C$340</f>
        <v>1534.3000000000002</v>
      </c>
      <c r="D342" s="293">
        <f t="shared" si="145"/>
        <v>9.5900000000000016</v>
      </c>
      <c r="E342" s="230">
        <f t="shared" si="145"/>
        <v>7780.85</v>
      </c>
      <c r="F342" s="293">
        <f t="shared" si="145"/>
        <v>8.6450000000000014</v>
      </c>
      <c r="G342" s="230">
        <f t="shared" si="145"/>
        <v>2490.65</v>
      </c>
      <c r="H342" s="293">
        <f t="shared" si="145"/>
        <v>8.3000000000000007</v>
      </c>
      <c r="I342" s="230">
        <f t="shared" si="145"/>
        <v>18100.600000000002</v>
      </c>
      <c r="J342" s="293">
        <f t="shared" si="145"/>
        <v>5.03</v>
      </c>
      <c r="K342" s="230">
        <f t="shared" si="145"/>
        <v>14792.5</v>
      </c>
      <c r="L342" s="293">
        <f t="shared" si="145"/>
        <v>6.165</v>
      </c>
      <c r="M342" s="230">
        <f t="shared" si="145"/>
        <v>19597.400000000001</v>
      </c>
      <c r="N342" s="293">
        <f t="shared" si="145"/>
        <v>5.4450000000000003</v>
      </c>
      <c r="O342" s="230">
        <f t="shared" si="145"/>
        <v>28492.600000000002</v>
      </c>
      <c r="P342" s="293">
        <f t="shared" si="145"/>
        <v>7.9150000000000009</v>
      </c>
      <c r="Q342" s="230">
        <f t="shared" si="145"/>
        <v>13805.800000000001</v>
      </c>
      <c r="R342" s="293">
        <f t="shared" si="145"/>
        <v>5.75</v>
      </c>
      <c r="S342" s="230">
        <f t="shared" si="145"/>
        <v>18366.850000000002</v>
      </c>
      <c r="T342" s="293">
        <f t="shared" si="145"/>
        <v>7.6550000000000002</v>
      </c>
      <c r="U342" s="230">
        <f t="shared" si="145"/>
        <v>34214.9</v>
      </c>
      <c r="V342" s="293">
        <f t="shared" si="145"/>
        <v>10.690000000000001</v>
      </c>
      <c r="W342" s="230">
        <f t="shared" si="145"/>
        <v>22772.45</v>
      </c>
      <c r="X342" s="293">
        <f t="shared" si="145"/>
        <v>6.3250000000000002</v>
      </c>
      <c r="Y342" s="230">
        <f t="shared" si="145"/>
        <v>19116.400000000001</v>
      </c>
      <c r="Z342" s="293">
        <f t="shared" si="145"/>
        <v>7.9650000000000007</v>
      </c>
    </row>
    <row r="343" spans="1:26" x14ac:dyDescent="0.2">
      <c r="A343" s="699"/>
      <c r="B343" s="272" t="s">
        <v>374</v>
      </c>
      <c r="C343" s="230">
        <f t="shared" ref="C343:Z350" si="146">C7*C$340</f>
        <v>0</v>
      </c>
      <c r="D343" s="293">
        <f t="shared" si="146"/>
        <v>0</v>
      </c>
      <c r="E343" s="230">
        <f t="shared" si="146"/>
        <v>0</v>
      </c>
      <c r="F343" s="293">
        <f t="shared" si="146"/>
        <v>0</v>
      </c>
      <c r="G343" s="230">
        <f t="shared" si="146"/>
        <v>439.05</v>
      </c>
      <c r="H343" s="293">
        <f t="shared" si="146"/>
        <v>1.4650000000000001</v>
      </c>
      <c r="I343" s="230">
        <f t="shared" si="146"/>
        <v>5252.4000000000005</v>
      </c>
      <c r="J343" s="293">
        <f t="shared" si="146"/>
        <v>1.46</v>
      </c>
      <c r="K343" s="230">
        <f t="shared" si="146"/>
        <v>4407.75</v>
      </c>
      <c r="L343" s="293">
        <f t="shared" si="146"/>
        <v>1.8350000000000002</v>
      </c>
      <c r="M343" s="230">
        <f t="shared" si="146"/>
        <v>6847.75</v>
      </c>
      <c r="N343" s="293">
        <f t="shared" si="146"/>
        <v>1.9000000000000001</v>
      </c>
      <c r="O343" s="230">
        <f t="shared" si="146"/>
        <v>17170.2</v>
      </c>
      <c r="P343" s="293">
        <f t="shared" si="146"/>
        <v>4.7700000000000005</v>
      </c>
      <c r="Q343" s="230">
        <f t="shared" si="146"/>
        <v>10344.550000000001</v>
      </c>
      <c r="R343" s="293">
        <f t="shared" si="146"/>
        <v>4.3100000000000005</v>
      </c>
      <c r="S343" s="230">
        <f t="shared" si="146"/>
        <v>6504.6</v>
      </c>
      <c r="T343" s="293">
        <f t="shared" si="146"/>
        <v>2.7100000000000004</v>
      </c>
      <c r="U343" s="230">
        <f t="shared" si="146"/>
        <v>6899.4000000000005</v>
      </c>
      <c r="V343" s="293">
        <f t="shared" si="146"/>
        <v>2.1550000000000002</v>
      </c>
      <c r="W343" s="230">
        <f t="shared" si="146"/>
        <v>11990.5</v>
      </c>
      <c r="X343" s="293">
        <f t="shared" si="146"/>
        <v>3.33</v>
      </c>
      <c r="Y343" s="230">
        <f t="shared" si="146"/>
        <v>3694.25</v>
      </c>
      <c r="Z343" s="293">
        <f t="shared" si="146"/>
        <v>1.54</v>
      </c>
    </row>
    <row r="344" spans="1:26" x14ac:dyDescent="0.2">
      <c r="A344" s="699"/>
      <c r="B344" s="272" t="s">
        <v>375</v>
      </c>
      <c r="C344" s="230">
        <f t="shared" si="146"/>
        <v>238.25</v>
      </c>
      <c r="D344" s="293">
        <f t="shared" si="146"/>
        <v>1.4900000000000002</v>
      </c>
      <c r="E344" s="230">
        <f t="shared" si="146"/>
        <v>1339.6000000000001</v>
      </c>
      <c r="F344" s="293">
        <f t="shared" si="146"/>
        <v>1.4900000000000002</v>
      </c>
      <c r="G344" s="230">
        <f t="shared" si="146"/>
        <v>150.35</v>
      </c>
      <c r="H344" s="293">
        <f t="shared" si="146"/>
        <v>0.5</v>
      </c>
      <c r="I344" s="230">
        <f t="shared" si="146"/>
        <v>902</v>
      </c>
      <c r="J344" s="293">
        <f t="shared" si="146"/>
        <v>0.25</v>
      </c>
      <c r="K344" s="230">
        <f t="shared" si="146"/>
        <v>1176.5</v>
      </c>
      <c r="L344" s="293">
        <f t="shared" si="146"/>
        <v>0.49000000000000005</v>
      </c>
      <c r="M344" s="230">
        <f t="shared" si="146"/>
        <v>902</v>
      </c>
      <c r="N344" s="293">
        <f t="shared" si="146"/>
        <v>0.25</v>
      </c>
      <c r="O344" s="230">
        <f t="shared" si="146"/>
        <v>5358.5</v>
      </c>
      <c r="P344" s="293">
        <f t="shared" si="146"/>
        <v>1.4900000000000002</v>
      </c>
      <c r="Q344" s="230">
        <f t="shared" si="146"/>
        <v>3574.1000000000004</v>
      </c>
      <c r="R344" s="293">
        <f t="shared" si="146"/>
        <v>1.4900000000000002</v>
      </c>
      <c r="S344" s="230">
        <f t="shared" si="146"/>
        <v>3574.1000000000004</v>
      </c>
      <c r="T344" s="293">
        <f t="shared" si="146"/>
        <v>1.4900000000000002</v>
      </c>
      <c r="U344" s="230">
        <f t="shared" si="146"/>
        <v>7843.2000000000007</v>
      </c>
      <c r="V344" s="293">
        <f t="shared" si="146"/>
        <v>2.4500000000000002</v>
      </c>
      <c r="W344" s="230">
        <f t="shared" si="146"/>
        <v>1820.4</v>
      </c>
      <c r="X344" s="293">
        <f t="shared" si="146"/>
        <v>0.505</v>
      </c>
      <c r="Y344" s="230">
        <f t="shared" si="146"/>
        <v>1202.7</v>
      </c>
      <c r="Z344" s="293">
        <f t="shared" si="146"/>
        <v>0.5</v>
      </c>
    </row>
    <row r="345" spans="1:26" x14ac:dyDescent="0.2">
      <c r="A345" s="699"/>
      <c r="B345" s="272" t="s">
        <v>376</v>
      </c>
      <c r="C345" s="230">
        <f t="shared" si="146"/>
        <v>0</v>
      </c>
      <c r="D345" s="293">
        <f t="shared" si="146"/>
        <v>0</v>
      </c>
      <c r="E345" s="230">
        <f t="shared" si="146"/>
        <v>0</v>
      </c>
      <c r="F345" s="293">
        <f t="shared" si="146"/>
        <v>0</v>
      </c>
      <c r="G345" s="230">
        <f t="shared" si="146"/>
        <v>525.25</v>
      </c>
      <c r="H345" s="293">
        <f t="shared" si="146"/>
        <v>1.75</v>
      </c>
      <c r="I345" s="230">
        <f t="shared" si="146"/>
        <v>6167.1500000000005</v>
      </c>
      <c r="J345" s="293">
        <f t="shared" si="146"/>
        <v>1.7149999999999999</v>
      </c>
      <c r="K345" s="230">
        <f t="shared" si="146"/>
        <v>4615.5</v>
      </c>
      <c r="L345" s="293">
        <f t="shared" si="146"/>
        <v>1.925</v>
      </c>
      <c r="M345" s="230">
        <f t="shared" si="146"/>
        <v>8016.6</v>
      </c>
      <c r="N345" s="293">
        <f t="shared" si="146"/>
        <v>2.2250000000000001</v>
      </c>
      <c r="O345" s="230">
        <f t="shared" si="146"/>
        <v>18473.05</v>
      </c>
      <c r="P345" s="293">
        <f t="shared" si="146"/>
        <v>5.13</v>
      </c>
      <c r="Q345" s="230">
        <f t="shared" si="146"/>
        <v>10810.6</v>
      </c>
      <c r="R345" s="293">
        <f t="shared" si="146"/>
        <v>4.5049999999999999</v>
      </c>
      <c r="S345" s="230">
        <f t="shared" si="146"/>
        <v>7451.85</v>
      </c>
      <c r="T345" s="293">
        <f t="shared" si="146"/>
        <v>3.1050000000000004</v>
      </c>
      <c r="U345" s="230">
        <f t="shared" si="146"/>
        <v>5418.4000000000005</v>
      </c>
      <c r="V345" s="293">
        <f t="shared" si="146"/>
        <v>1.6950000000000001</v>
      </c>
      <c r="W345" s="230">
        <f t="shared" si="146"/>
        <v>14744.6</v>
      </c>
      <c r="X345" s="293">
        <f t="shared" si="146"/>
        <v>4.0950000000000006</v>
      </c>
      <c r="Y345" s="230">
        <f t="shared" si="146"/>
        <v>4567.5</v>
      </c>
      <c r="Z345" s="293">
        <f t="shared" si="146"/>
        <v>1.9050000000000002</v>
      </c>
    </row>
    <row r="346" spans="1:26" x14ac:dyDescent="0.2">
      <c r="A346" s="699"/>
      <c r="B346" s="272" t="s">
        <v>377</v>
      </c>
      <c r="C346" s="230">
        <f t="shared" si="146"/>
        <v>9.65</v>
      </c>
      <c r="D346" s="293">
        <f t="shared" si="146"/>
        <v>0.06</v>
      </c>
      <c r="E346" s="230">
        <f t="shared" si="146"/>
        <v>48.300000000000004</v>
      </c>
      <c r="F346" s="293">
        <f t="shared" si="146"/>
        <v>5.5000000000000007E-2</v>
      </c>
      <c r="G346" s="230">
        <f t="shared" si="146"/>
        <v>26.55</v>
      </c>
      <c r="H346" s="293">
        <f t="shared" si="146"/>
        <v>9.0000000000000011E-2</v>
      </c>
      <c r="I346" s="230">
        <f t="shared" si="146"/>
        <v>568.6</v>
      </c>
      <c r="J346" s="293">
        <f t="shared" si="146"/>
        <v>0.16000000000000003</v>
      </c>
      <c r="K346" s="230">
        <f t="shared" si="146"/>
        <v>221.15</v>
      </c>
      <c r="L346" s="293">
        <f t="shared" si="146"/>
        <v>9.0000000000000011E-2</v>
      </c>
      <c r="M346" s="230">
        <f t="shared" si="146"/>
        <v>652.30000000000007</v>
      </c>
      <c r="N346" s="293">
        <f t="shared" si="146"/>
        <v>0.18000000000000002</v>
      </c>
      <c r="O346" s="230">
        <f t="shared" si="146"/>
        <v>807.65000000000009</v>
      </c>
      <c r="P346" s="293">
        <f t="shared" si="146"/>
        <v>0.22500000000000001</v>
      </c>
      <c r="Q346" s="230">
        <f t="shared" si="146"/>
        <v>183.75</v>
      </c>
      <c r="R346" s="293">
        <f t="shared" si="146"/>
        <v>7.5000000000000011E-2</v>
      </c>
      <c r="S346" s="230">
        <f t="shared" si="146"/>
        <v>658.2</v>
      </c>
      <c r="T346" s="293">
        <f t="shared" si="146"/>
        <v>0.27500000000000002</v>
      </c>
      <c r="U346" s="230">
        <f t="shared" si="146"/>
        <v>331.40000000000003</v>
      </c>
      <c r="V346" s="293">
        <f t="shared" si="146"/>
        <v>0.10500000000000001</v>
      </c>
      <c r="W346" s="230">
        <f t="shared" si="146"/>
        <v>893.15000000000009</v>
      </c>
      <c r="X346" s="293">
        <f t="shared" si="146"/>
        <v>0.25</v>
      </c>
      <c r="Y346" s="230">
        <f t="shared" si="146"/>
        <v>420.45000000000005</v>
      </c>
      <c r="Z346" s="293">
        <f t="shared" si="146"/>
        <v>0.17500000000000002</v>
      </c>
    </row>
    <row r="347" spans="1:26" x14ac:dyDescent="0.2">
      <c r="A347" s="699"/>
      <c r="B347" s="272" t="s">
        <v>378</v>
      </c>
      <c r="C347" s="230">
        <f t="shared" si="146"/>
        <v>99.65</v>
      </c>
      <c r="D347" s="293">
        <f t="shared" si="146"/>
        <v>0.625</v>
      </c>
      <c r="E347" s="230">
        <f t="shared" si="146"/>
        <v>560.70000000000005</v>
      </c>
      <c r="F347" s="293">
        <f t="shared" si="146"/>
        <v>0.625</v>
      </c>
      <c r="G347" s="230">
        <f t="shared" si="146"/>
        <v>540.25</v>
      </c>
      <c r="H347" s="293">
        <f t="shared" si="146"/>
        <v>1.8</v>
      </c>
      <c r="I347" s="230">
        <f t="shared" si="146"/>
        <v>7610.75</v>
      </c>
      <c r="J347" s="293">
        <f t="shared" si="146"/>
        <v>2.1149999999999998</v>
      </c>
      <c r="K347" s="230">
        <f t="shared" si="146"/>
        <v>4450.5</v>
      </c>
      <c r="L347" s="293">
        <f t="shared" si="146"/>
        <v>1.8550000000000002</v>
      </c>
      <c r="M347" s="230">
        <f t="shared" si="146"/>
        <v>7610.75</v>
      </c>
      <c r="N347" s="293">
        <f t="shared" si="146"/>
        <v>2.1149999999999998</v>
      </c>
      <c r="O347" s="230">
        <f t="shared" si="146"/>
        <v>13797.550000000001</v>
      </c>
      <c r="P347" s="293">
        <f t="shared" si="146"/>
        <v>3.8350000000000004</v>
      </c>
      <c r="Q347" s="230">
        <f t="shared" si="146"/>
        <v>9198</v>
      </c>
      <c r="R347" s="293">
        <f t="shared" si="146"/>
        <v>3.8350000000000004</v>
      </c>
      <c r="S347" s="230">
        <f t="shared" si="146"/>
        <v>9198</v>
      </c>
      <c r="T347" s="293">
        <f t="shared" si="146"/>
        <v>3.8350000000000004</v>
      </c>
      <c r="U347" s="230">
        <f t="shared" si="146"/>
        <v>5572.8</v>
      </c>
      <c r="V347" s="293">
        <f t="shared" si="146"/>
        <v>1.74</v>
      </c>
      <c r="W347" s="230">
        <f t="shared" si="146"/>
        <v>17061.150000000001</v>
      </c>
      <c r="X347" s="293">
        <f t="shared" si="146"/>
        <v>4.74</v>
      </c>
      <c r="Y347" s="230">
        <f t="shared" si="146"/>
        <v>4698</v>
      </c>
      <c r="Z347" s="293">
        <f t="shared" si="146"/>
        <v>1.9550000000000001</v>
      </c>
    </row>
    <row r="348" spans="1:26" x14ac:dyDescent="0.2">
      <c r="A348" s="699"/>
      <c r="B348" s="272" t="s">
        <v>379</v>
      </c>
      <c r="C348" s="230">
        <f t="shared" si="146"/>
        <v>153.30000000000001</v>
      </c>
      <c r="D348" s="293">
        <f t="shared" si="146"/>
        <v>0.96</v>
      </c>
      <c r="E348" s="230">
        <f t="shared" si="146"/>
        <v>862.35</v>
      </c>
      <c r="F348" s="293">
        <f t="shared" si="146"/>
        <v>0.96</v>
      </c>
      <c r="G348" s="230">
        <f t="shared" si="146"/>
        <v>90.050000000000011</v>
      </c>
      <c r="H348" s="293">
        <f t="shared" si="146"/>
        <v>0.30000000000000004</v>
      </c>
      <c r="I348" s="230">
        <f t="shared" si="146"/>
        <v>6978</v>
      </c>
      <c r="J348" s="293">
        <f t="shared" si="146"/>
        <v>1.94</v>
      </c>
      <c r="K348" s="230">
        <f t="shared" si="146"/>
        <v>1780.2</v>
      </c>
      <c r="L348" s="293">
        <f t="shared" si="146"/>
        <v>0.7400000000000001</v>
      </c>
      <c r="M348" s="230">
        <f t="shared" si="146"/>
        <v>6978</v>
      </c>
      <c r="N348" s="293">
        <f t="shared" si="146"/>
        <v>1.94</v>
      </c>
      <c r="O348" s="230">
        <f t="shared" si="146"/>
        <v>9198</v>
      </c>
      <c r="P348" s="293">
        <f t="shared" si="146"/>
        <v>2.5550000000000002</v>
      </c>
      <c r="Q348" s="230">
        <f t="shared" si="146"/>
        <v>3066</v>
      </c>
      <c r="R348" s="293">
        <f t="shared" si="146"/>
        <v>1.2800000000000002</v>
      </c>
      <c r="S348" s="230">
        <f t="shared" si="146"/>
        <v>766.5</v>
      </c>
      <c r="T348" s="293">
        <f t="shared" si="146"/>
        <v>0.32000000000000006</v>
      </c>
      <c r="U348" s="230">
        <f t="shared" si="146"/>
        <v>464.40000000000003</v>
      </c>
      <c r="V348" s="293">
        <f t="shared" si="146"/>
        <v>0.14499999999999999</v>
      </c>
      <c r="W348" s="230">
        <f t="shared" si="146"/>
        <v>758.15000000000009</v>
      </c>
      <c r="X348" s="293">
        <f t="shared" si="146"/>
        <v>0.21000000000000002</v>
      </c>
      <c r="Y348" s="230">
        <f t="shared" si="146"/>
        <v>391.5</v>
      </c>
      <c r="Z348" s="293">
        <f t="shared" si="146"/>
        <v>0.16500000000000001</v>
      </c>
    </row>
    <row r="349" spans="1:26" x14ac:dyDescent="0.2">
      <c r="A349" s="699"/>
      <c r="B349" s="272" t="s">
        <v>380</v>
      </c>
      <c r="C349" s="230">
        <f t="shared" si="146"/>
        <v>0</v>
      </c>
      <c r="D349" s="293">
        <f>D13*D$340</f>
        <v>0</v>
      </c>
      <c r="E349" s="230">
        <f t="shared" si="146"/>
        <v>0</v>
      </c>
      <c r="F349" s="293">
        <f t="shared" si="146"/>
        <v>0</v>
      </c>
      <c r="G349" s="230">
        <f t="shared" si="146"/>
        <v>0</v>
      </c>
      <c r="H349" s="293">
        <f t="shared" si="146"/>
        <v>0</v>
      </c>
      <c r="I349" s="230">
        <f t="shared" si="146"/>
        <v>0</v>
      </c>
      <c r="J349" s="293">
        <f t="shared" si="146"/>
        <v>0</v>
      </c>
      <c r="K349" s="230">
        <f t="shared" si="146"/>
        <v>0</v>
      </c>
      <c r="L349" s="293">
        <f t="shared" si="146"/>
        <v>0</v>
      </c>
      <c r="M349" s="230">
        <f t="shared" si="146"/>
        <v>0</v>
      </c>
      <c r="N349" s="293">
        <f t="shared" si="146"/>
        <v>0</v>
      </c>
      <c r="O349" s="230">
        <f t="shared" si="146"/>
        <v>0</v>
      </c>
      <c r="P349" s="293">
        <f t="shared" si="146"/>
        <v>0</v>
      </c>
      <c r="Q349" s="230">
        <f t="shared" si="146"/>
        <v>0</v>
      </c>
      <c r="R349" s="293">
        <f t="shared" si="146"/>
        <v>0</v>
      </c>
      <c r="S349" s="230">
        <f t="shared" si="146"/>
        <v>0</v>
      </c>
      <c r="T349" s="293">
        <f t="shared" si="146"/>
        <v>0</v>
      </c>
      <c r="U349" s="230">
        <f t="shared" si="146"/>
        <v>0</v>
      </c>
      <c r="V349" s="293">
        <f t="shared" si="146"/>
        <v>0</v>
      </c>
      <c r="W349" s="230">
        <f t="shared" si="146"/>
        <v>0</v>
      </c>
      <c r="X349" s="293">
        <f t="shared" si="146"/>
        <v>0</v>
      </c>
      <c r="Y349" s="230">
        <f t="shared" si="146"/>
        <v>0</v>
      </c>
      <c r="Z349" s="293">
        <f t="shared" si="146"/>
        <v>0</v>
      </c>
    </row>
    <row r="350" spans="1:26" x14ac:dyDescent="0.2">
      <c r="A350" s="699"/>
      <c r="B350" s="272" t="s">
        <v>381</v>
      </c>
      <c r="C350" s="230">
        <f t="shared" si="146"/>
        <v>0</v>
      </c>
      <c r="D350" s="293">
        <f t="shared" si="146"/>
        <v>0</v>
      </c>
      <c r="E350" s="230">
        <f t="shared" si="146"/>
        <v>0</v>
      </c>
      <c r="F350" s="293">
        <f t="shared" si="146"/>
        <v>0</v>
      </c>
      <c r="G350" s="230">
        <f t="shared" si="146"/>
        <v>0</v>
      </c>
      <c r="H350" s="293">
        <f t="shared" si="146"/>
        <v>0</v>
      </c>
      <c r="I350" s="230">
        <f t="shared" si="146"/>
        <v>3698.3</v>
      </c>
      <c r="J350" s="293">
        <f t="shared" si="146"/>
        <v>1.0250000000000001</v>
      </c>
      <c r="K350" s="230">
        <f t="shared" si="146"/>
        <v>0</v>
      </c>
      <c r="L350" s="293">
        <f t="shared" si="146"/>
        <v>0</v>
      </c>
      <c r="M350" s="230">
        <f t="shared" si="146"/>
        <v>4717.3500000000004</v>
      </c>
      <c r="N350" s="293">
        <f t="shared" si="146"/>
        <v>1.31</v>
      </c>
      <c r="O350" s="230">
        <f t="shared" si="146"/>
        <v>9437</v>
      </c>
      <c r="P350" s="293">
        <f t="shared" si="146"/>
        <v>2.62</v>
      </c>
      <c r="Q350" s="230">
        <f t="shared" si="146"/>
        <v>0</v>
      </c>
      <c r="R350" s="293">
        <f t="shared" si="146"/>
        <v>0</v>
      </c>
      <c r="S350" s="230">
        <f t="shared" si="146"/>
        <v>4284.6500000000005</v>
      </c>
      <c r="T350" s="293">
        <f t="shared" si="146"/>
        <v>1.7850000000000001</v>
      </c>
      <c r="U350" s="230">
        <f t="shared" si="146"/>
        <v>0</v>
      </c>
      <c r="V350" s="293">
        <f t="shared" si="146"/>
        <v>0</v>
      </c>
      <c r="W350" s="230">
        <f t="shared" si="146"/>
        <v>9452.3000000000011</v>
      </c>
      <c r="X350" s="293">
        <f t="shared" si="146"/>
        <v>2.625</v>
      </c>
      <c r="Y350" s="230">
        <f t="shared" si="146"/>
        <v>3099.65</v>
      </c>
      <c r="Z350" s="293">
        <f t="shared" si="146"/>
        <v>1.29</v>
      </c>
    </row>
    <row r="351" spans="1:26" s="20" customFormat="1" x14ac:dyDescent="0.2">
      <c r="A351" s="700"/>
      <c r="B351" s="274" t="s">
        <v>382</v>
      </c>
      <c r="C351" s="275">
        <f t="shared" ref="C351:Z351" si="147">SUM(C342:C350)</f>
        <v>2035.1500000000003</v>
      </c>
      <c r="D351" s="294">
        <f t="shared" si="147"/>
        <v>12.725000000000001</v>
      </c>
      <c r="E351" s="275">
        <f t="shared" si="147"/>
        <v>10591.800000000001</v>
      </c>
      <c r="F351" s="294">
        <f t="shared" si="147"/>
        <v>11.775000000000002</v>
      </c>
      <c r="G351" s="275">
        <f t="shared" si="147"/>
        <v>4262.1500000000005</v>
      </c>
      <c r="H351" s="294">
        <f t="shared" si="147"/>
        <v>14.205000000000002</v>
      </c>
      <c r="I351" s="275">
        <f t="shared" si="147"/>
        <v>49277.8</v>
      </c>
      <c r="J351" s="294">
        <f t="shared" si="147"/>
        <v>13.695</v>
      </c>
      <c r="K351" s="275">
        <f t="shared" si="147"/>
        <v>31444.100000000002</v>
      </c>
      <c r="L351" s="294">
        <f t="shared" si="147"/>
        <v>13.100000000000001</v>
      </c>
      <c r="M351" s="275">
        <f t="shared" si="147"/>
        <v>55322.15</v>
      </c>
      <c r="N351" s="294">
        <f t="shared" si="147"/>
        <v>15.365</v>
      </c>
      <c r="O351" s="275">
        <f t="shared" si="147"/>
        <v>102734.55</v>
      </c>
      <c r="P351" s="294">
        <f t="shared" si="147"/>
        <v>28.540000000000006</v>
      </c>
      <c r="Q351" s="275">
        <f t="shared" si="147"/>
        <v>50982.8</v>
      </c>
      <c r="R351" s="294">
        <f t="shared" si="147"/>
        <v>21.245000000000001</v>
      </c>
      <c r="S351" s="275">
        <f t="shared" si="147"/>
        <v>50804.75</v>
      </c>
      <c r="T351" s="294">
        <f t="shared" si="147"/>
        <v>21.175000000000001</v>
      </c>
      <c r="U351" s="275">
        <f t="shared" si="147"/>
        <v>60744.500000000007</v>
      </c>
      <c r="V351" s="294">
        <f t="shared" si="147"/>
        <v>18.98</v>
      </c>
      <c r="W351" s="275">
        <f t="shared" si="147"/>
        <v>79492.7</v>
      </c>
      <c r="X351" s="294">
        <f t="shared" si="147"/>
        <v>22.080000000000005</v>
      </c>
      <c r="Y351" s="275">
        <f t="shared" si="147"/>
        <v>37190.450000000004</v>
      </c>
      <c r="Z351" s="294">
        <f t="shared" si="147"/>
        <v>15.495000000000001</v>
      </c>
    </row>
    <row r="352" spans="1:26" s="227" customFormat="1" x14ac:dyDescent="0.2">
      <c r="A352" s="386"/>
      <c r="B352" s="195"/>
      <c r="C352" s="268"/>
      <c r="D352" s="268"/>
      <c r="E352" s="268"/>
      <c r="F352" s="268"/>
      <c r="G352" s="268"/>
      <c r="H352" s="268"/>
      <c r="I352" s="268"/>
      <c r="J352" s="268"/>
      <c r="K352" s="268"/>
      <c r="L352" s="268"/>
      <c r="M352" s="268"/>
      <c r="N352" s="268"/>
      <c r="O352" s="268"/>
      <c r="P352" s="268"/>
      <c r="Q352" s="268"/>
      <c r="R352" s="268"/>
      <c r="S352" s="268"/>
      <c r="T352" s="268"/>
      <c r="U352" s="268"/>
      <c r="V352" s="268"/>
      <c r="W352" s="268"/>
      <c r="X352" s="268"/>
      <c r="Y352" s="268"/>
      <c r="Z352" s="268"/>
    </row>
    <row r="353" spans="1:26" s="202" customFormat="1" ht="13.15" customHeight="1" x14ac:dyDescent="0.2">
      <c r="A353" s="698" t="s">
        <v>914</v>
      </c>
      <c r="B353" s="269" t="s">
        <v>962</v>
      </c>
      <c r="C353" s="368"/>
      <c r="D353" s="369"/>
      <c r="E353" s="368"/>
      <c r="F353" s="369"/>
      <c r="G353" s="598" t="s">
        <v>962</v>
      </c>
      <c r="H353" s="314"/>
      <c r="I353" s="598" t="s">
        <v>962</v>
      </c>
      <c r="J353" s="314"/>
      <c r="K353" s="598" t="s">
        <v>962</v>
      </c>
      <c r="L353" s="314"/>
      <c r="M353" s="598" t="s">
        <v>962</v>
      </c>
      <c r="N353" s="314"/>
      <c r="O353" s="598" t="s">
        <v>962</v>
      </c>
      <c r="P353" s="314"/>
      <c r="Q353" s="598" t="s">
        <v>962</v>
      </c>
      <c r="R353" s="314"/>
      <c r="S353" s="598" t="s">
        <v>962</v>
      </c>
      <c r="T353" s="314"/>
      <c r="U353" s="598" t="s">
        <v>962</v>
      </c>
      <c r="V353" s="314"/>
      <c r="W353" s="598" t="s">
        <v>962</v>
      </c>
      <c r="X353" s="314"/>
      <c r="Y353" s="598" t="s">
        <v>962</v>
      </c>
      <c r="Z353" s="314"/>
    </row>
    <row r="354" spans="1:26" x14ac:dyDescent="0.2">
      <c r="A354" s="699"/>
      <c r="B354" s="26" t="s">
        <v>966</v>
      </c>
      <c r="C354" s="372"/>
      <c r="D354" s="381"/>
      <c r="E354" s="372"/>
      <c r="F354" s="381"/>
      <c r="G354" s="597">
        <v>0.05</v>
      </c>
      <c r="H354" s="599">
        <v>0.05</v>
      </c>
      <c r="I354" s="597">
        <v>0.05</v>
      </c>
      <c r="J354" s="599">
        <v>0.05</v>
      </c>
      <c r="K354" s="597">
        <v>0.05</v>
      </c>
      <c r="L354" s="599">
        <v>0.05</v>
      </c>
      <c r="M354" s="597">
        <v>0.05</v>
      </c>
      <c r="N354" s="599">
        <v>0.05</v>
      </c>
      <c r="O354" s="597">
        <v>0.05</v>
      </c>
      <c r="P354" s="599">
        <v>0.05</v>
      </c>
      <c r="Q354" s="597">
        <v>0.05</v>
      </c>
      <c r="R354" s="599">
        <v>0.05</v>
      </c>
      <c r="S354" s="597">
        <v>0.05</v>
      </c>
      <c r="T354" s="599">
        <v>0.05</v>
      </c>
      <c r="U354" s="597">
        <v>0.05</v>
      </c>
      <c r="V354" s="599">
        <v>0.05</v>
      </c>
      <c r="W354" s="597">
        <v>0.05</v>
      </c>
      <c r="X354" s="599">
        <v>0.05</v>
      </c>
      <c r="Y354" s="597">
        <v>0.05</v>
      </c>
      <c r="Z354" s="599">
        <v>0.05</v>
      </c>
    </row>
    <row r="355" spans="1:26" s="216" customFormat="1" x14ac:dyDescent="0.2">
      <c r="A355" s="699"/>
      <c r="B355" s="283" t="s">
        <v>491</v>
      </c>
      <c r="C355" s="353"/>
      <c r="D355" s="354"/>
      <c r="E355" s="353"/>
      <c r="F355" s="374"/>
      <c r="G355" s="289" t="s">
        <v>372</v>
      </c>
      <c r="H355" s="291" t="s">
        <v>397</v>
      </c>
      <c r="I355" s="289" t="s">
        <v>372</v>
      </c>
      <c r="J355" s="291" t="s">
        <v>397</v>
      </c>
      <c r="K355" s="289" t="s">
        <v>372</v>
      </c>
      <c r="L355" s="291" t="s">
        <v>397</v>
      </c>
      <c r="M355" s="289" t="s">
        <v>372</v>
      </c>
      <c r="N355" s="291" t="s">
        <v>397</v>
      </c>
      <c r="O355" s="289" t="s">
        <v>372</v>
      </c>
      <c r="P355" s="291" t="s">
        <v>397</v>
      </c>
      <c r="Q355" s="289" t="s">
        <v>372</v>
      </c>
      <c r="R355" s="291" t="s">
        <v>397</v>
      </c>
      <c r="S355" s="289" t="s">
        <v>372</v>
      </c>
      <c r="T355" s="291" t="s">
        <v>397</v>
      </c>
      <c r="U355" s="289" t="s">
        <v>372</v>
      </c>
      <c r="V355" s="291" t="s">
        <v>397</v>
      </c>
      <c r="W355" s="289" t="s">
        <v>372</v>
      </c>
      <c r="X355" s="291" t="s">
        <v>397</v>
      </c>
      <c r="Y355" s="289" t="s">
        <v>372</v>
      </c>
      <c r="Z355" s="291" t="s">
        <v>397</v>
      </c>
    </row>
    <row r="356" spans="1:26" x14ac:dyDescent="0.2">
      <c r="A356" s="699"/>
      <c r="B356" s="272" t="s">
        <v>373</v>
      </c>
      <c r="C356" s="355"/>
      <c r="D356" s="356"/>
      <c r="E356" s="355"/>
      <c r="F356" s="384"/>
      <c r="G356" s="230">
        <f t="shared" ref="G356:Z356" si="148">G6*G$354</f>
        <v>2490.65</v>
      </c>
      <c r="H356" s="293">
        <f t="shared" si="148"/>
        <v>8.3000000000000007</v>
      </c>
      <c r="I356" s="230">
        <f t="shared" si="148"/>
        <v>18100.600000000002</v>
      </c>
      <c r="J356" s="293">
        <f t="shared" si="148"/>
        <v>5.03</v>
      </c>
      <c r="K356" s="230">
        <f t="shared" si="148"/>
        <v>14792.5</v>
      </c>
      <c r="L356" s="293">
        <f t="shared" si="148"/>
        <v>6.165</v>
      </c>
      <c r="M356" s="230">
        <f t="shared" si="148"/>
        <v>19597.400000000001</v>
      </c>
      <c r="N356" s="293">
        <f t="shared" si="148"/>
        <v>5.4450000000000003</v>
      </c>
      <c r="O356" s="230">
        <f t="shared" si="148"/>
        <v>28492.600000000002</v>
      </c>
      <c r="P356" s="293">
        <f t="shared" si="148"/>
        <v>7.9150000000000009</v>
      </c>
      <c r="Q356" s="230">
        <f t="shared" si="148"/>
        <v>13805.800000000001</v>
      </c>
      <c r="R356" s="293">
        <f t="shared" si="148"/>
        <v>5.75</v>
      </c>
      <c r="S356" s="230">
        <f t="shared" si="148"/>
        <v>18366.850000000002</v>
      </c>
      <c r="T356" s="293">
        <f t="shared" si="148"/>
        <v>7.6550000000000002</v>
      </c>
      <c r="U356" s="230">
        <f t="shared" si="148"/>
        <v>34214.9</v>
      </c>
      <c r="V356" s="293">
        <f t="shared" si="148"/>
        <v>10.690000000000001</v>
      </c>
      <c r="W356" s="230">
        <f t="shared" si="148"/>
        <v>22772.45</v>
      </c>
      <c r="X356" s="293">
        <f t="shared" si="148"/>
        <v>6.3250000000000002</v>
      </c>
      <c r="Y356" s="230">
        <f t="shared" si="148"/>
        <v>19116.400000000001</v>
      </c>
      <c r="Z356" s="293">
        <f t="shared" si="148"/>
        <v>7.9650000000000007</v>
      </c>
    </row>
    <row r="357" spans="1:26" x14ac:dyDescent="0.2">
      <c r="A357" s="699"/>
      <c r="B357" s="272" t="s">
        <v>374</v>
      </c>
      <c r="C357" s="355"/>
      <c r="D357" s="356"/>
      <c r="E357" s="355"/>
      <c r="F357" s="384"/>
      <c r="G357" s="230">
        <f t="shared" ref="G357:Z357" si="149">G7*G$354</f>
        <v>439.05</v>
      </c>
      <c r="H357" s="293">
        <f t="shared" si="149"/>
        <v>1.4650000000000001</v>
      </c>
      <c r="I357" s="230">
        <f t="shared" si="149"/>
        <v>5252.4000000000005</v>
      </c>
      <c r="J357" s="293">
        <f t="shared" si="149"/>
        <v>1.46</v>
      </c>
      <c r="K357" s="230">
        <f t="shared" si="149"/>
        <v>4407.75</v>
      </c>
      <c r="L357" s="293">
        <f t="shared" si="149"/>
        <v>1.8350000000000002</v>
      </c>
      <c r="M357" s="230">
        <f t="shared" si="149"/>
        <v>6847.75</v>
      </c>
      <c r="N357" s="293">
        <f t="shared" si="149"/>
        <v>1.9000000000000001</v>
      </c>
      <c r="O357" s="230">
        <f t="shared" si="149"/>
        <v>17170.2</v>
      </c>
      <c r="P357" s="293">
        <f t="shared" si="149"/>
        <v>4.7700000000000005</v>
      </c>
      <c r="Q357" s="230">
        <f t="shared" si="149"/>
        <v>10344.550000000001</v>
      </c>
      <c r="R357" s="293">
        <f t="shared" si="149"/>
        <v>4.3100000000000005</v>
      </c>
      <c r="S357" s="230">
        <f t="shared" si="149"/>
        <v>6504.6</v>
      </c>
      <c r="T357" s="293">
        <f t="shared" si="149"/>
        <v>2.7100000000000004</v>
      </c>
      <c r="U357" s="230">
        <f t="shared" si="149"/>
        <v>6899.4000000000005</v>
      </c>
      <c r="V357" s="293">
        <f t="shared" si="149"/>
        <v>2.1550000000000002</v>
      </c>
      <c r="W357" s="230">
        <f t="shared" si="149"/>
        <v>11990.5</v>
      </c>
      <c r="X357" s="293">
        <f t="shared" si="149"/>
        <v>3.33</v>
      </c>
      <c r="Y357" s="230">
        <f t="shared" si="149"/>
        <v>3694.25</v>
      </c>
      <c r="Z357" s="293">
        <f t="shared" si="149"/>
        <v>1.54</v>
      </c>
    </row>
    <row r="358" spans="1:26" x14ac:dyDescent="0.2">
      <c r="A358" s="699"/>
      <c r="B358" s="272" t="s">
        <v>375</v>
      </c>
      <c r="C358" s="355"/>
      <c r="D358" s="356"/>
      <c r="E358" s="355"/>
      <c r="F358" s="384"/>
      <c r="G358" s="230"/>
      <c r="H358" s="293"/>
      <c r="I358" s="230"/>
      <c r="J358" s="293"/>
      <c r="K358" s="230"/>
      <c r="L358" s="293"/>
      <c r="M358" s="230"/>
      <c r="N358" s="293"/>
      <c r="O358" s="230"/>
      <c r="P358" s="293"/>
      <c r="Q358" s="230"/>
      <c r="R358" s="293"/>
      <c r="S358" s="230"/>
      <c r="T358" s="293"/>
      <c r="U358" s="230"/>
      <c r="V358" s="293"/>
      <c r="W358" s="230"/>
      <c r="X358" s="293"/>
      <c r="Y358" s="230"/>
      <c r="Z358" s="293"/>
    </row>
    <row r="359" spans="1:26" x14ac:dyDescent="0.2">
      <c r="A359" s="699"/>
      <c r="B359" s="272" t="s">
        <v>376</v>
      </c>
      <c r="C359" s="355"/>
      <c r="D359" s="356"/>
      <c r="E359" s="355"/>
      <c r="F359" s="384"/>
      <c r="G359" s="230">
        <f t="shared" ref="G359:Z359" si="150">G9*G$354</f>
        <v>525.25</v>
      </c>
      <c r="H359" s="293">
        <f t="shared" si="150"/>
        <v>1.75</v>
      </c>
      <c r="I359" s="230">
        <f t="shared" si="150"/>
        <v>6167.1500000000005</v>
      </c>
      <c r="J359" s="293">
        <f t="shared" si="150"/>
        <v>1.7149999999999999</v>
      </c>
      <c r="K359" s="230">
        <f t="shared" si="150"/>
        <v>4615.5</v>
      </c>
      <c r="L359" s="293">
        <f t="shared" si="150"/>
        <v>1.925</v>
      </c>
      <c r="M359" s="230">
        <f t="shared" si="150"/>
        <v>8016.6</v>
      </c>
      <c r="N359" s="293">
        <f t="shared" si="150"/>
        <v>2.2250000000000001</v>
      </c>
      <c r="O359" s="230">
        <f t="shared" si="150"/>
        <v>18473.05</v>
      </c>
      <c r="P359" s="293">
        <f t="shared" si="150"/>
        <v>5.13</v>
      </c>
      <c r="Q359" s="230">
        <f t="shared" si="150"/>
        <v>10810.6</v>
      </c>
      <c r="R359" s="293">
        <f t="shared" si="150"/>
        <v>4.5049999999999999</v>
      </c>
      <c r="S359" s="230">
        <f t="shared" si="150"/>
        <v>7451.85</v>
      </c>
      <c r="T359" s="293">
        <f t="shared" si="150"/>
        <v>3.1050000000000004</v>
      </c>
      <c r="U359" s="230">
        <f t="shared" si="150"/>
        <v>5418.4000000000005</v>
      </c>
      <c r="V359" s="293">
        <f t="shared" si="150"/>
        <v>1.6950000000000001</v>
      </c>
      <c r="W359" s="230">
        <f t="shared" si="150"/>
        <v>14744.6</v>
      </c>
      <c r="X359" s="293">
        <f t="shared" si="150"/>
        <v>4.0950000000000006</v>
      </c>
      <c r="Y359" s="230">
        <f t="shared" si="150"/>
        <v>4567.5</v>
      </c>
      <c r="Z359" s="293">
        <f t="shared" si="150"/>
        <v>1.9050000000000002</v>
      </c>
    </row>
    <row r="360" spans="1:26" x14ac:dyDescent="0.2">
      <c r="A360" s="699"/>
      <c r="B360" s="272" t="s">
        <v>377</v>
      </c>
      <c r="C360" s="355"/>
      <c r="D360" s="356"/>
      <c r="E360" s="355"/>
      <c r="F360" s="384"/>
      <c r="G360" s="230">
        <f t="shared" ref="G360:Z360" si="151">G10*G$354</f>
        <v>26.55</v>
      </c>
      <c r="H360" s="293">
        <f t="shared" si="151"/>
        <v>9.0000000000000011E-2</v>
      </c>
      <c r="I360" s="230">
        <f t="shared" si="151"/>
        <v>568.6</v>
      </c>
      <c r="J360" s="293">
        <f t="shared" si="151"/>
        <v>0.16000000000000003</v>
      </c>
      <c r="K360" s="230">
        <f t="shared" si="151"/>
        <v>221.15</v>
      </c>
      <c r="L360" s="293">
        <f t="shared" si="151"/>
        <v>9.0000000000000011E-2</v>
      </c>
      <c r="M360" s="230">
        <f t="shared" si="151"/>
        <v>652.30000000000007</v>
      </c>
      <c r="N360" s="293">
        <f t="shared" si="151"/>
        <v>0.18000000000000002</v>
      </c>
      <c r="O360" s="230">
        <f t="shared" si="151"/>
        <v>807.65000000000009</v>
      </c>
      <c r="P360" s="293">
        <f t="shared" si="151"/>
        <v>0.22500000000000001</v>
      </c>
      <c r="Q360" s="230">
        <f t="shared" si="151"/>
        <v>183.75</v>
      </c>
      <c r="R360" s="293">
        <f t="shared" si="151"/>
        <v>7.5000000000000011E-2</v>
      </c>
      <c r="S360" s="230">
        <f t="shared" si="151"/>
        <v>658.2</v>
      </c>
      <c r="T360" s="293">
        <f t="shared" si="151"/>
        <v>0.27500000000000002</v>
      </c>
      <c r="U360" s="230">
        <f t="shared" si="151"/>
        <v>331.40000000000003</v>
      </c>
      <c r="V360" s="293">
        <f t="shared" si="151"/>
        <v>0.10500000000000001</v>
      </c>
      <c r="W360" s="230">
        <f t="shared" si="151"/>
        <v>893.15000000000009</v>
      </c>
      <c r="X360" s="293">
        <f t="shared" si="151"/>
        <v>0.25</v>
      </c>
      <c r="Y360" s="230">
        <f t="shared" si="151"/>
        <v>420.45000000000005</v>
      </c>
      <c r="Z360" s="293">
        <f t="shared" si="151"/>
        <v>0.17500000000000002</v>
      </c>
    </row>
    <row r="361" spans="1:26" x14ac:dyDescent="0.2">
      <c r="A361" s="699"/>
      <c r="B361" s="272" t="s">
        <v>378</v>
      </c>
      <c r="C361" s="355"/>
      <c r="D361" s="356"/>
      <c r="E361" s="355"/>
      <c r="F361" s="384"/>
      <c r="G361" s="230"/>
      <c r="H361" s="293"/>
      <c r="I361" s="230"/>
      <c r="J361" s="293"/>
      <c r="K361" s="230"/>
      <c r="L361" s="293"/>
      <c r="M361" s="230"/>
      <c r="N361" s="293"/>
      <c r="O361" s="230"/>
      <c r="P361" s="293"/>
      <c r="Q361" s="230"/>
      <c r="R361" s="293"/>
      <c r="S361" s="230"/>
      <c r="T361" s="293"/>
      <c r="U361" s="230"/>
      <c r="V361" s="293"/>
      <c r="W361" s="230"/>
      <c r="X361" s="293"/>
      <c r="Y361" s="230"/>
      <c r="Z361" s="293"/>
    </row>
    <row r="362" spans="1:26" x14ac:dyDescent="0.2">
      <c r="A362" s="699"/>
      <c r="B362" s="272" t="s">
        <v>379</v>
      </c>
      <c r="C362" s="355"/>
      <c r="D362" s="356"/>
      <c r="E362" s="355"/>
      <c r="F362" s="384"/>
      <c r="G362" s="230"/>
      <c r="H362" s="293"/>
      <c r="I362" s="230"/>
      <c r="J362" s="293"/>
      <c r="K362" s="230"/>
      <c r="L362" s="293"/>
      <c r="M362" s="230"/>
      <c r="N362" s="293"/>
      <c r="O362" s="230"/>
      <c r="P362" s="293"/>
      <c r="Q362" s="230"/>
      <c r="R362" s="293"/>
      <c r="S362" s="230"/>
      <c r="T362" s="293"/>
      <c r="U362" s="230"/>
      <c r="V362" s="293"/>
      <c r="W362" s="230"/>
      <c r="X362" s="293"/>
      <c r="Y362" s="230"/>
      <c r="Z362" s="293"/>
    </row>
    <row r="363" spans="1:26" x14ac:dyDescent="0.2">
      <c r="A363" s="699"/>
      <c r="B363" s="272" t="s">
        <v>380</v>
      </c>
      <c r="C363" s="355"/>
      <c r="D363" s="356"/>
      <c r="E363" s="355"/>
      <c r="F363" s="384"/>
      <c r="G363" s="230"/>
      <c r="H363" s="293"/>
      <c r="I363" s="230"/>
      <c r="J363" s="293"/>
      <c r="K363" s="230"/>
      <c r="L363" s="293"/>
      <c r="M363" s="230"/>
      <c r="N363" s="293"/>
      <c r="O363" s="230"/>
      <c r="P363" s="293"/>
      <c r="Q363" s="230"/>
      <c r="R363" s="293"/>
      <c r="S363" s="230"/>
      <c r="T363" s="293"/>
      <c r="U363" s="230"/>
      <c r="V363" s="293"/>
      <c r="W363" s="230"/>
      <c r="X363" s="293"/>
      <c r="Y363" s="230"/>
      <c r="Z363" s="293"/>
    </row>
    <row r="364" spans="1:26" x14ac:dyDescent="0.2">
      <c r="A364" s="699"/>
      <c r="B364" s="272" t="s">
        <v>381</v>
      </c>
      <c r="C364" s="355"/>
      <c r="D364" s="356"/>
      <c r="E364" s="355"/>
      <c r="F364" s="384"/>
      <c r="G364" s="230">
        <f t="shared" ref="G364:Z364" si="152">G14*G$354</f>
        <v>0</v>
      </c>
      <c r="H364" s="293">
        <f t="shared" si="152"/>
        <v>0</v>
      </c>
      <c r="I364" s="230">
        <f t="shared" si="152"/>
        <v>3698.3</v>
      </c>
      <c r="J364" s="293">
        <f t="shared" si="152"/>
        <v>1.0250000000000001</v>
      </c>
      <c r="K364" s="230">
        <f t="shared" si="152"/>
        <v>0</v>
      </c>
      <c r="L364" s="293">
        <f t="shared" si="152"/>
        <v>0</v>
      </c>
      <c r="M364" s="230">
        <f t="shared" si="152"/>
        <v>4717.3500000000004</v>
      </c>
      <c r="N364" s="293">
        <f t="shared" si="152"/>
        <v>1.31</v>
      </c>
      <c r="O364" s="230">
        <f t="shared" si="152"/>
        <v>9437</v>
      </c>
      <c r="P364" s="293">
        <f t="shared" si="152"/>
        <v>2.62</v>
      </c>
      <c r="Q364" s="230">
        <f t="shared" si="152"/>
        <v>0</v>
      </c>
      <c r="R364" s="293">
        <f t="shared" si="152"/>
        <v>0</v>
      </c>
      <c r="S364" s="230">
        <f t="shared" si="152"/>
        <v>4284.6500000000005</v>
      </c>
      <c r="T364" s="293">
        <f t="shared" si="152"/>
        <v>1.7850000000000001</v>
      </c>
      <c r="U364" s="230">
        <f t="shared" si="152"/>
        <v>0</v>
      </c>
      <c r="V364" s="293">
        <f t="shared" si="152"/>
        <v>0</v>
      </c>
      <c r="W364" s="230">
        <f t="shared" si="152"/>
        <v>9452.3000000000011</v>
      </c>
      <c r="X364" s="293">
        <f t="shared" si="152"/>
        <v>2.625</v>
      </c>
      <c r="Y364" s="230">
        <f t="shared" si="152"/>
        <v>3099.65</v>
      </c>
      <c r="Z364" s="293">
        <f t="shared" si="152"/>
        <v>1.29</v>
      </c>
    </row>
    <row r="365" spans="1:26" s="20" customFormat="1" x14ac:dyDescent="0.2">
      <c r="A365" s="700"/>
      <c r="B365" s="274" t="s">
        <v>382</v>
      </c>
      <c r="C365" s="357"/>
      <c r="D365" s="358"/>
      <c r="E365" s="357"/>
      <c r="F365" s="385"/>
      <c r="G365" s="275">
        <f t="shared" ref="G365:Z365" si="153">SUM(G356:G364)</f>
        <v>3481.5000000000005</v>
      </c>
      <c r="H365" s="294">
        <f t="shared" si="153"/>
        <v>11.605</v>
      </c>
      <c r="I365" s="275">
        <f t="shared" si="153"/>
        <v>33787.050000000003</v>
      </c>
      <c r="J365" s="294">
        <f t="shared" si="153"/>
        <v>9.39</v>
      </c>
      <c r="K365" s="275">
        <f t="shared" si="153"/>
        <v>24036.9</v>
      </c>
      <c r="L365" s="294">
        <f t="shared" si="153"/>
        <v>10.015000000000001</v>
      </c>
      <c r="M365" s="275">
        <f t="shared" si="153"/>
        <v>39831.4</v>
      </c>
      <c r="N365" s="294">
        <f t="shared" si="153"/>
        <v>11.06</v>
      </c>
      <c r="O365" s="275">
        <f t="shared" si="153"/>
        <v>74380.5</v>
      </c>
      <c r="P365" s="294">
        <f t="shared" si="153"/>
        <v>20.660000000000004</v>
      </c>
      <c r="Q365" s="275">
        <f t="shared" si="153"/>
        <v>35144.700000000004</v>
      </c>
      <c r="R365" s="294">
        <f t="shared" si="153"/>
        <v>14.64</v>
      </c>
      <c r="S365" s="275">
        <f t="shared" si="153"/>
        <v>37266.15</v>
      </c>
      <c r="T365" s="294">
        <f t="shared" si="153"/>
        <v>15.530000000000001</v>
      </c>
      <c r="U365" s="275">
        <f t="shared" si="153"/>
        <v>46864.100000000006</v>
      </c>
      <c r="V365" s="294">
        <f t="shared" si="153"/>
        <v>14.645000000000003</v>
      </c>
      <c r="W365" s="275">
        <f t="shared" si="153"/>
        <v>59853</v>
      </c>
      <c r="X365" s="294">
        <f t="shared" si="153"/>
        <v>16.625</v>
      </c>
      <c r="Y365" s="275">
        <f t="shared" si="153"/>
        <v>30898.250000000004</v>
      </c>
      <c r="Z365" s="294">
        <f t="shared" si="153"/>
        <v>12.875</v>
      </c>
    </row>
  </sheetData>
  <mergeCells count="14">
    <mergeCell ref="A123:A148"/>
    <mergeCell ref="A94:A121"/>
    <mergeCell ref="A150:A173"/>
    <mergeCell ref="A5:A15"/>
    <mergeCell ref="A17:A42"/>
    <mergeCell ref="A44:A67"/>
    <mergeCell ref="A69:A92"/>
    <mergeCell ref="A339:A351"/>
    <mergeCell ref="A353:A365"/>
    <mergeCell ref="A264:A298"/>
    <mergeCell ref="A300:A337"/>
    <mergeCell ref="A175:A212"/>
    <mergeCell ref="A214:A237"/>
    <mergeCell ref="A239:A262"/>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12"/>
  <sheetViews>
    <sheetView topLeftCell="A285" zoomScale="90" zoomScaleNormal="90" workbookViewId="0">
      <selection activeCell="A74" sqref="A74"/>
    </sheetView>
  </sheetViews>
  <sheetFormatPr baseColWidth="10" defaultColWidth="8.85546875" defaultRowHeight="15" x14ac:dyDescent="0.25"/>
  <cols>
    <col min="1" max="1" width="17.7109375" style="409" customWidth="1"/>
    <col min="2" max="2" width="28" style="5" customWidth="1"/>
    <col min="3" max="3" width="31.42578125" style="12" customWidth="1"/>
    <col min="4" max="4" width="14.5703125" style="14" customWidth="1"/>
    <col min="5" max="5" width="28" style="5" customWidth="1"/>
    <col min="6" max="6" width="30" style="12" customWidth="1"/>
    <col min="7" max="7" width="14.5703125" style="14" customWidth="1"/>
    <col min="8" max="8" width="26.85546875" style="6" customWidth="1"/>
    <col min="9" max="9" width="30.7109375" style="12" customWidth="1"/>
    <col min="10" max="10" width="15.28515625" style="14" customWidth="1"/>
    <col min="11" max="11" width="33.85546875" style="12" customWidth="1"/>
    <col min="12" max="12" width="15" style="14" customWidth="1"/>
    <col min="13" max="13" width="10.7109375" style="13" customWidth="1"/>
    <col min="14" max="14" width="14.85546875" style="13" customWidth="1"/>
    <col min="15" max="15" width="10.28515625" style="13" customWidth="1"/>
    <col min="16" max="16" width="11.7109375" style="13" customWidth="1"/>
    <col min="17" max="17" width="10.7109375" style="13" customWidth="1"/>
    <col min="18" max="18" width="11.28515625" style="13" customWidth="1"/>
    <col min="19" max="16384" width="8.85546875" style="13"/>
  </cols>
  <sheetData>
    <row r="1" spans="1:26" ht="20.45" customHeight="1" x14ac:dyDescent="0.25">
      <c r="A1" s="403" t="s">
        <v>552</v>
      </c>
      <c r="B1" s="19"/>
      <c r="C1" s="14"/>
      <c r="D1" s="13"/>
      <c r="E1" s="12"/>
      <c r="F1" s="14"/>
      <c r="G1" s="13"/>
      <c r="H1" s="12"/>
      <c r="I1" s="14"/>
      <c r="M1" s="6"/>
      <c r="N1" s="12"/>
      <c r="O1" s="6"/>
      <c r="P1" s="12"/>
      <c r="Q1" s="14"/>
      <c r="S1" s="12"/>
      <c r="T1" s="14"/>
      <c r="V1" s="12"/>
      <c r="W1" s="14"/>
      <c r="Y1" s="12"/>
      <c r="Z1" s="14"/>
    </row>
    <row r="2" spans="1:26" s="225" customFormat="1" x14ac:dyDescent="0.25">
      <c r="A2" s="225" t="s">
        <v>362</v>
      </c>
    </row>
    <row r="3" spans="1:26" customFormat="1" x14ac:dyDescent="0.25"/>
    <row r="4" spans="1:26" customFormat="1" x14ac:dyDescent="0.25">
      <c r="A4" s="196" t="s">
        <v>609</v>
      </c>
    </row>
    <row r="5" spans="1:26" customFormat="1" x14ac:dyDescent="0.25">
      <c r="A5" t="s">
        <v>643</v>
      </c>
    </row>
    <row r="6" spans="1:26" customFormat="1" x14ac:dyDescent="0.25">
      <c r="A6" t="s">
        <v>518</v>
      </c>
      <c r="B6" t="s">
        <v>1043</v>
      </c>
    </row>
    <row r="7" spans="1:26" customFormat="1" x14ac:dyDescent="0.25">
      <c r="A7" t="s">
        <v>519</v>
      </c>
      <c r="B7" t="s">
        <v>1044</v>
      </c>
    </row>
    <row r="8" spans="1:26" customFormat="1" x14ac:dyDescent="0.25">
      <c r="A8" t="s">
        <v>520</v>
      </c>
      <c r="B8" t="s">
        <v>1045</v>
      </c>
    </row>
    <row r="9" spans="1:26" customFormat="1" x14ac:dyDescent="0.25"/>
    <row r="10" spans="1:26" customFormat="1" x14ac:dyDescent="0.25">
      <c r="A10" s="196" t="s">
        <v>1033</v>
      </c>
    </row>
    <row r="11" spans="1:26" customFormat="1" x14ac:dyDescent="0.25">
      <c r="A11" t="s">
        <v>643</v>
      </c>
    </row>
    <row r="12" spans="1:26" customFormat="1" x14ac:dyDescent="0.25">
      <c r="A12" t="s">
        <v>518</v>
      </c>
      <c r="B12" t="s">
        <v>1040</v>
      </c>
    </row>
    <row r="13" spans="1:26" customFormat="1" x14ac:dyDescent="0.25">
      <c r="A13" t="s">
        <v>519</v>
      </c>
      <c r="B13" t="s">
        <v>1041</v>
      </c>
    </row>
    <row r="14" spans="1:26" customFormat="1" x14ac:dyDescent="0.25">
      <c r="A14" t="s">
        <v>520</v>
      </c>
      <c r="B14" t="s">
        <v>1042</v>
      </c>
    </row>
    <row r="15" spans="1:26" customFormat="1" x14ac:dyDescent="0.25"/>
    <row r="16" spans="1:26" customFormat="1" x14ac:dyDescent="0.25">
      <c r="A16" s="196" t="s">
        <v>1019</v>
      </c>
    </row>
    <row r="17" spans="1:2" customFormat="1" x14ac:dyDescent="0.25">
      <c r="A17" t="s">
        <v>644</v>
      </c>
    </row>
    <row r="18" spans="1:2" customFormat="1" x14ac:dyDescent="0.25">
      <c r="A18" t="s">
        <v>518</v>
      </c>
      <c r="B18" s="3" t="s">
        <v>1035</v>
      </c>
    </row>
    <row r="19" spans="1:2" customFormat="1" x14ac:dyDescent="0.25">
      <c r="A19" t="s">
        <v>519</v>
      </c>
      <c r="B19" s="3" t="s">
        <v>1034</v>
      </c>
    </row>
    <row r="20" spans="1:2" customFormat="1" x14ac:dyDescent="0.25">
      <c r="A20" t="s">
        <v>520</v>
      </c>
      <c r="B20" t="s">
        <v>1008</v>
      </c>
    </row>
    <row r="21" spans="1:2" customFormat="1" x14ac:dyDescent="0.25"/>
    <row r="22" spans="1:2" customFormat="1" x14ac:dyDescent="0.25">
      <c r="A22" s="196" t="s">
        <v>1036</v>
      </c>
    </row>
    <row r="23" spans="1:2" customFormat="1" x14ac:dyDescent="0.25">
      <c r="A23" t="s">
        <v>644</v>
      </c>
    </row>
    <row r="24" spans="1:2" customFormat="1" x14ac:dyDescent="0.25">
      <c r="A24" t="s">
        <v>518</v>
      </c>
      <c r="B24" s="3" t="s">
        <v>1037</v>
      </c>
    </row>
    <row r="25" spans="1:2" customFormat="1" x14ac:dyDescent="0.25">
      <c r="A25" t="s">
        <v>519</v>
      </c>
      <c r="B25" s="3" t="s">
        <v>1038</v>
      </c>
    </row>
    <row r="26" spans="1:2" customFormat="1" x14ac:dyDescent="0.25">
      <c r="A26" t="s">
        <v>520</v>
      </c>
      <c r="B26" s="3" t="s">
        <v>1039</v>
      </c>
    </row>
    <row r="27" spans="1:2" customFormat="1" x14ac:dyDescent="0.25"/>
    <row r="28" spans="1:2" customFormat="1" x14ac:dyDescent="0.25">
      <c r="A28" s="196" t="s">
        <v>611</v>
      </c>
    </row>
    <row r="29" spans="1:2" customFormat="1" x14ac:dyDescent="0.25">
      <c r="A29" t="s">
        <v>612</v>
      </c>
    </row>
    <row r="30" spans="1:2" customFormat="1" x14ac:dyDescent="0.25">
      <c r="A30" t="s">
        <v>518</v>
      </c>
      <c r="B30" t="s">
        <v>1047</v>
      </c>
    </row>
    <row r="31" spans="1:2" customFormat="1" x14ac:dyDescent="0.25">
      <c r="A31" t="s">
        <v>519</v>
      </c>
      <c r="B31" t="s">
        <v>1046</v>
      </c>
    </row>
    <row r="32" spans="1:2" customFormat="1" x14ac:dyDescent="0.25">
      <c r="A32" t="s">
        <v>520</v>
      </c>
      <c r="B32" t="s">
        <v>1048</v>
      </c>
    </row>
    <row r="33" spans="1:20" customFormat="1" x14ac:dyDescent="0.25"/>
    <row r="34" spans="1:20" customFormat="1" x14ac:dyDescent="0.25">
      <c r="A34" s="196" t="s">
        <v>613</v>
      </c>
    </row>
    <row r="35" spans="1:20" customFormat="1" x14ac:dyDescent="0.25">
      <c r="A35" t="s">
        <v>614</v>
      </c>
    </row>
    <row r="36" spans="1:20" customFormat="1" x14ac:dyDescent="0.25">
      <c r="A36" t="s">
        <v>518</v>
      </c>
      <c r="B36" t="s">
        <v>1049</v>
      </c>
    </row>
    <row r="37" spans="1:20" customFormat="1" x14ac:dyDescent="0.25">
      <c r="A37" t="s">
        <v>519</v>
      </c>
      <c r="B37" t="s">
        <v>645</v>
      </c>
    </row>
    <row r="38" spans="1:20" customFormat="1" x14ac:dyDescent="0.25">
      <c r="A38" t="s">
        <v>520</v>
      </c>
      <c r="B38" t="s">
        <v>646</v>
      </c>
    </row>
    <row r="39" spans="1:20" customFormat="1" x14ac:dyDescent="0.25"/>
    <row r="40" spans="1:20" customFormat="1" x14ac:dyDescent="0.25"/>
    <row r="41" spans="1:20" customFormat="1" x14ac:dyDescent="0.25">
      <c r="G41" s="14"/>
      <c r="H41" s="6"/>
      <c r="I41" s="694" t="str">
        <f>A4</f>
        <v>Etterisolering vegg</v>
      </c>
      <c r="J41" s="695"/>
      <c r="K41" s="696"/>
      <c r="L41" s="694" t="str">
        <f>A16</f>
        <v>Etterisolering tak/loft</v>
      </c>
      <c r="M41" s="695"/>
      <c r="N41" s="696"/>
      <c r="O41" s="694" t="str">
        <f>A28</f>
        <v>Etterisolering gulv</v>
      </c>
      <c r="P41" s="695"/>
      <c r="Q41" s="696"/>
      <c r="R41" s="694" t="str">
        <f>A34</f>
        <v>Skifte vinduer og dører</v>
      </c>
      <c r="S41" s="695"/>
      <c r="T41" s="696"/>
    </row>
    <row r="42" spans="1:20" customFormat="1" x14ac:dyDescent="0.25">
      <c r="A42" s="73" t="s">
        <v>95</v>
      </c>
      <c r="B42" s="63" t="s">
        <v>163</v>
      </c>
      <c r="C42" s="331" t="s">
        <v>615</v>
      </c>
      <c r="D42" s="17" t="s">
        <v>616</v>
      </c>
      <c r="E42" s="329" t="s">
        <v>617</v>
      </c>
      <c r="F42" s="17" t="s">
        <v>618</v>
      </c>
      <c r="G42" s="17" t="s">
        <v>833</v>
      </c>
      <c r="H42" s="17" t="s">
        <v>834</v>
      </c>
      <c r="I42" s="330" t="s">
        <v>3</v>
      </c>
      <c r="J42" s="17" t="s">
        <v>143</v>
      </c>
      <c r="K42" s="17" t="s">
        <v>4</v>
      </c>
      <c r="L42" s="17" t="s">
        <v>3</v>
      </c>
      <c r="M42" s="17" t="s">
        <v>143</v>
      </c>
      <c r="N42" s="17" t="s">
        <v>4</v>
      </c>
      <c r="O42" s="17" t="s">
        <v>3</v>
      </c>
      <c r="P42" s="17" t="s">
        <v>143</v>
      </c>
      <c r="Q42" s="17" t="s">
        <v>4</v>
      </c>
      <c r="R42" s="17" t="s">
        <v>3</v>
      </c>
      <c r="S42" s="17" t="s">
        <v>143</v>
      </c>
      <c r="T42" s="17" t="s">
        <v>4</v>
      </c>
    </row>
    <row r="43" spans="1:20" customFormat="1" x14ac:dyDescent="0.25">
      <c r="A43" s="68"/>
      <c r="B43" s="69" t="s">
        <v>174</v>
      </c>
      <c r="C43" s="542" t="s">
        <v>174</v>
      </c>
      <c r="D43" s="408" t="s">
        <v>174</v>
      </c>
      <c r="E43" s="543" t="s">
        <v>174</v>
      </c>
      <c r="F43" s="408" t="s">
        <v>174</v>
      </c>
      <c r="G43" s="408" t="s">
        <v>832</v>
      </c>
      <c r="H43" s="408" t="s">
        <v>832</v>
      </c>
      <c r="I43" s="330" t="s">
        <v>522</v>
      </c>
      <c r="J43" s="17" t="s">
        <v>522</v>
      </c>
      <c r="K43" s="17" t="s">
        <v>522</v>
      </c>
      <c r="L43" s="17" t="s">
        <v>522</v>
      </c>
      <c r="M43" s="17" t="s">
        <v>522</v>
      </c>
      <c r="N43" s="17" t="s">
        <v>522</v>
      </c>
      <c r="O43" s="17" t="s">
        <v>522</v>
      </c>
      <c r="P43" s="17" t="s">
        <v>522</v>
      </c>
      <c r="Q43" s="17" t="s">
        <v>522</v>
      </c>
      <c r="R43" s="17" t="s">
        <v>522</v>
      </c>
      <c r="S43" s="17" t="s">
        <v>522</v>
      </c>
      <c r="T43" s="17" t="s">
        <v>522</v>
      </c>
    </row>
    <row r="44" spans="1:20" s="404" customFormat="1" x14ac:dyDescent="0.25">
      <c r="A44" s="339" t="s">
        <v>11</v>
      </c>
      <c r="B44" s="333">
        <v>160</v>
      </c>
      <c r="C44" s="332">
        <f>'2 Bygningsmodeller'!I6</f>
        <v>160</v>
      </c>
      <c r="D44" s="539">
        <f>'2 Bygningsmodeller'!H6</f>
        <v>90</v>
      </c>
      <c r="E44" s="333">
        <f>'2 Bygningsmodeller'!C6</f>
        <v>80</v>
      </c>
      <c r="F44" s="540">
        <f>'2 Bygningsmodeller'!J6</f>
        <v>32</v>
      </c>
      <c r="G44" s="539">
        <v>10</v>
      </c>
      <c r="H44" s="334">
        <v>8</v>
      </c>
      <c r="I44" s="544">
        <f>($J$96*C44+$J$99*G44+$J$98*H44)/B44</f>
        <v>3316.5625</v>
      </c>
      <c r="J44" s="544">
        <f>($G$96*C44+$G$99*G44+$G$98*H44)/B44</f>
        <v>3522.7354062500003</v>
      </c>
      <c r="K44" s="545">
        <f>($D$96*C44+$D$99*G44+$D$98*H44)/B44</f>
        <v>4021.375</v>
      </c>
      <c r="L44" s="546">
        <f>$J$134*D44/B44</f>
        <v>2064.375</v>
      </c>
      <c r="M44" s="544">
        <f>$G$134*D44/B44</f>
        <v>2216.25</v>
      </c>
      <c r="N44" s="545"/>
      <c r="O44" s="546">
        <f>$D$154*E44/B44</f>
        <v>815</v>
      </c>
      <c r="P44" s="544">
        <f>$G$154*E44/B44</f>
        <v>2270</v>
      </c>
      <c r="Q44" s="545">
        <f>$J$154*E44/B44</f>
        <v>2380</v>
      </c>
      <c r="R44" s="544">
        <f>$J$161*F44/B44*0.9</f>
        <v>2041.2</v>
      </c>
      <c r="S44" s="544">
        <f>$G$161*F44/B44</f>
        <v>2268</v>
      </c>
      <c r="T44" s="545">
        <f>$D$161*F44/B44</f>
        <v>2676</v>
      </c>
    </row>
    <row r="45" spans="1:20" s="404" customFormat="1" x14ac:dyDescent="0.25">
      <c r="A45" s="340" t="s">
        <v>1</v>
      </c>
      <c r="B45" s="2">
        <v>900</v>
      </c>
      <c r="C45" s="335">
        <f>'2 Bygningsmodeller'!I7</f>
        <v>458</v>
      </c>
      <c r="D45" s="540">
        <f>'2 Bygningsmodeller'!H7</f>
        <v>300</v>
      </c>
      <c r="E45" s="2">
        <f>'2 Bygningsmodeller'!C7</f>
        <v>300</v>
      </c>
      <c r="F45" s="540">
        <f>'2 Bygningsmodeller'!J7</f>
        <v>180</v>
      </c>
      <c r="G45" s="540">
        <v>30</v>
      </c>
      <c r="H45" s="336">
        <v>10</v>
      </c>
      <c r="I45" s="547">
        <f>($J$175*C45+$J$178*G45+$J$177*H45)/B45</f>
        <v>1485.4222222222222</v>
      </c>
      <c r="J45" s="547">
        <f>($G$175*C45+$G$178*G45+$G$177*H45)/B45</f>
        <v>2072.9684611111111</v>
      </c>
      <c r="K45" s="549">
        <f>($D$175*C45+$D$178*G45+$D$177*H45)/B45</f>
        <v>2139.9888888888891</v>
      </c>
      <c r="L45" s="548">
        <f>$J$205*D45/B45</f>
        <v>420</v>
      </c>
      <c r="M45" s="547">
        <f>$G$205*D45/B45</f>
        <v>460</v>
      </c>
      <c r="N45" s="549"/>
      <c r="O45" s="548">
        <f>$D$229*E45/B45</f>
        <v>650</v>
      </c>
      <c r="P45" s="547">
        <f>$J$229*E45/B45</f>
        <v>686.66666666666663</v>
      </c>
      <c r="Q45" s="549">
        <f>$G$229*E45/B45</f>
        <v>1443.3333333333333</v>
      </c>
      <c r="R45" s="547">
        <f>$J$236*F45/B45*0.9</f>
        <v>2041.2</v>
      </c>
      <c r="S45" s="547">
        <f>$G$236*F45/B45</f>
        <v>2268</v>
      </c>
      <c r="T45" s="549">
        <f>$D$236*F45/B45</f>
        <v>2660</v>
      </c>
    </row>
    <row r="46" spans="1:20" customFormat="1" x14ac:dyDescent="0.25">
      <c r="A46" s="24" t="s">
        <v>97</v>
      </c>
      <c r="B46" s="1">
        <v>300</v>
      </c>
      <c r="C46" s="335">
        <f>'2 Bygningsmodeller'!I8</f>
        <v>174</v>
      </c>
      <c r="D46" s="540">
        <f>'2 Bygningsmodeller'!H8</f>
        <v>300</v>
      </c>
      <c r="E46" s="2">
        <f>'2 Bygningsmodeller'!C8</f>
        <v>300</v>
      </c>
      <c r="F46" s="540">
        <f>'2 Bygningsmodeller'!J8</f>
        <v>60</v>
      </c>
      <c r="G46" s="540">
        <v>30</v>
      </c>
      <c r="H46" s="336">
        <v>10</v>
      </c>
      <c r="I46" s="547">
        <f>((SUM(J79:J87)*C46+$J$99*G46+$J$98*H46)/B46)</f>
        <v>1203.1372199999998</v>
      </c>
      <c r="J46" s="547">
        <f>((SUM(G79:G87)*C46+$G$99*G46+$G$98*H46)/B46)</f>
        <v>1226.91372</v>
      </c>
      <c r="K46" s="549">
        <f>((SUM(D79:D87)*C46+$D$99*G46+$D$98*H46)/B46)</f>
        <v>1471.8705533333334</v>
      </c>
      <c r="L46" s="548">
        <f>$J$205*D46/B46</f>
        <v>1260</v>
      </c>
      <c r="M46" s="547">
        <f>$G$205*D46/B46</f>
        <v>1380</v>
      </c>
      <c r="N46" s="549"/>
      <c r="O46" s="548">
        <f>$D$154*E46/B46</f>
        <v>1630</v>
      </c>
      <c r="P46" s="547">
        <f>$G$154*E46/B46</f>
        <v>4540</v>
      </c>
      <c r="Q46" s="549">
        <f>$J$154*E46/B46</f>
        <v>4760</v>
      </c>
      <c r="R46" s="550">
        <f t="shared" ref="R46:R51" si="0">$J$306*F46/B46*0.9</f>
        <v>2041.2</v>
      </c>
      <c r="S46" s="547">
        <f>$G$236*F46/B46</f>
        <v>2268</v>
      </c>
      <c r="T46" s="552">
        <f t="shared" ref="T46:T51" si="1">$D$306*F46/B46</f>
        <v>2660</v>
      </c>
    </row>
    <row r="47" spans="1:20" customFormat="1" x14ac:dyDescent="0.25">
      <c r="A47" s="24" t="s">
        <v>98</v>
      </c>
      <c r="B47" s="1">
        <v>3600</v>
      </c>
      <c r="C47" s="335">
        <f>'2 Bygningsmodeller'!I9</f>
        <v>796</v>
      </c>
      <c r="D47" s="540">
        <f>'2 Bygningsmodeller'!H9</f>
        <v>1200</v>
      </c>
      <c r="E47" s="2">
        <f>'2 Bygningsmodeller'!C9</f>
        <v>1200</v>
      </c>
      <c r="F47" s="540">
        <f>'2 Bygningsmodeller'!J9</f>
        <v>720</v>
      </c>
      <c r="G47" s="540">
        <v>60</v>
      </c>
      <c r="H47" s="336">
        <v>20</v>
      </c>
      <c r="I47" s="550">
        <f>($J$250*C47+$J$253*G47+$J$252*H47)/B47</f>
        <v>817.57777777777778</v>
      </c>
      <c r="J47" s="550">
        <f>($G$250*C47+$G$253*G47+$G$252*H47)/B47</f>
        <v>1109.4017111111111</v>
      </c>
      <c r="K47" s="552">
        <f>($D$250*C47+$D$253*G47+$D$252*H47)/B47</f>
        <v>1154.588888888889</v>
      </c>
      <c r="L47" s="551">
        <f>$J$277*D47/B47</f>
        <v>366.66666666666669</v>
      </c>
      <c r="M47" s="550">
        <f>$G$277*D47/B47</f>
        <v>410</v>
      </c>
      <c r="N47" s="552"/>
      <c r="O47" s="551">
        <f>$D$298*E47/B47</f>
        <v>600</v>
      </c>
      <c r="P47" s="550">
        <f>$G$298*E47/B47</f>
        <v>1280</v>
      </c>
      <c r="Q47" s="552">
        <f>$J$298*E47/B47*1.15</f>
        <v>1472</v>
      </c>
      <c r="R47" s="550">
        <f t="shared" si="0"/>
        <v>2041.2</v>
      </c>
      <c r="S47" s="550">
        <f>$G$306*F47/B47</f>
        <v>2268</v>
      </c>
      <c r="T47" s="552">
        <f t="shared" si="1"/>
        <v>2660</v>
      </c>
    </row>
    <row r="48" spans="1:20" customFormat="1" x14ac:dyDescent="0.25">
      <c r="A48" s="24" t="s">
        <v>99</v>
      </c>
      <c r="B48" s="1">
        <v>2400</v>
      </c>
      <c r="C48" s="335">
        <f>'2 Bygningsmodeller'!I10</f>
        <v>532</v>
      </c>
      <c r="D48" s="540">
        <f>'2 Bygningsmodeller'!H10</f>
        <v>1200</v>
      </c>
      <c r="E48" s="2">
        <f>'2 Bygningsmodeller'!C10</f>
        <v>1200</v>
      </c>
      <c r="F48" s="540">
        <f>'2 Bygningsmodeller'!J10</f>
        <v>480</v>
      </c>
      <c r="G48" s="540">
        <v>60</v>
      </c>
      <c r="H48" s="336">
        <v>20</v>
      </c>
      <c r="I48" s="550">
        <f>($J$250*C48+$J$253*G48+$J$252*H48)/B48</f>
        <v>828.16666666666663</v>
      </c>
      <c r="J48" s="550">
        <f>($G$250*C48+$G$253*G48+$G$252*H48)/B48</f>
        <v>1132.8025666666667</v>
      </c>
      <c r="K48" s="552">
        <f>($D$250*C48+$D$253*G48+$D$252*H48)/B48</f>
        <v>1179.6833333333334</v>
      </c>
      <c r="L48" s="551">
        <f t="shared" ref="L48:L50" si="2">$J$277*D48/B48</f>
        <v>550</v>
      </c>
      <c r="M48" s="550">
        <f t="shared" ref="M48:M50" si="3">$G$277*D48/B48</f>
        <v>615</v>
      </c>
      <c r="N48" s="552"/>
      <c r="O48" s="551">
        <f>$D$298*E48/B48</f>
        <v>900</v>
      </c>
      <c r="P48" s="550">
        <f>$G$298*E48/B48</f>
        <v>1920</v>
      </c>
      <c r="Q48" s="552">
        <f>$J$298*E48/B48*1.15</f>
        <v>2208</v>
      </c>
      <c r="R48" s="550">
        <f t="shared" si="0"/>
        <v>2041.2</v>
      </c>
      <c r="S48" s="550">
        <f>$G$306*F48/B48</f>
        <v>2268</v>
      </c>
      <c r="T48" s="552">
        <f t="shared" si="1"/>
        <v>2660</v>
      </c>
    </row>
    <row r="49" spans="1:20" customFormat="1" x14ac:dyDescent="0.25">
      <c r="A49" s="24" t="s">
        <v>100</v>
      </c>
      <c r="B49" s="1">
        <v>3600</v>
      </c>
      <c r="C49" s="335">
        <f>'2 Bygningsmodeller'!I11</f>
        <v>796</v>
      </c>
      <c r="D49" s="540">
        <f>'2 Bygningsmodeller'!H11</f>
        <v>1200</v>
      </c>
      <c r="E49" s="2">
        <f>'2 Bygningsmodeller'!C11</f>
        <v>1200</v>
      </c>
      <c r="F49" s="540">
        <f>'2 Bygningsmodeller'!J11</f>
        <v>720</v>
      </c>
      <c r="G49" s="540">
        <v>60</v>
      </c>
      <c r="H49" s="336">
        <v>20</v>
      </c>
      <c r="I49" s="550">
        <f>($J$250*C49+$J$253*G49+$J$252*H49)/B49</f>
        <v>817.57777777777778</v>
      </c>
      <c r="J49" s="550">
        <f>($G$250*C49+$G$253*G49+$G$252*H49)/B49</f>
        <v>1109.4017111111111</v>
      </c>
      <c r="K49" s="552">
        <f>($D$250*C49+$D$253*G49+$D$252*H49)/B49</f>
        <v>1154.588888888889</v>
      </c>
      <c r="L49" s="551">
        <f t="shared" si="2"/>
        <v>366.66666666666669</v>
      </c>
      <c r="M49" s="550">
        <f t="shared" si="3"/>
        <v>410</v>
      </c>
      <c r="N49" s="552"/>
      <c r="O49" s="551">
        <f>$D$298*E49/B49</f>
        <v>600</v>
      </c>
      <c r="P49" s="550">
        <f>$G$298*E49/B49</f>
        <v>1280</v>
      </c>
      <c r="Q49" s="552">
        <f>$J$298*E49/B49*1.15</f>
        <v>1472</v>
      </c>
      <c r="R49" s="550">
        <f t="shared" si="0"/>
        <v>2041.2</v>
      </c>
      <c r="S49" s="550">
        <f>$G$306*F49/B49</f>
        <v>2268</v>
      </c>
      <c r="T49" s="552">
        <f t="shared" si="1"/>
        <v>2660</v>
      </c>
    </row>
    <row r="50" spans="1:20" customFormat="1" x14ac:dyDescent="0.25">
      <c r="A50" s="24" t="s">
        <v>101</v>
      </c>
      <c r="B50" s="1">
        <v>3600</v>
      </c>
      <c r="C50" s="335">
        <f>'2 Bygningsmodeller'!I12</f>
        <v>796</v>
      </c>
      <c r="D50" s="540">
        <f>'2 Bygningsmodeller'!H12</f>
        <v>1200</v>
      </c>
      <c r="E50" s="2">
        <f>'2 Bygningsmodeller'!C12</f>
        <v>1200</v>
      </c>
      <c r="F50" s="540">
        <f>'2 Bygningsmodeller'!J12</f>
        <v>720</v>
      </c>
      <c r="G50" s="540">
        <v>60</v>
      </c>
      <c r="H50" s="336">
        <v>20</v>
      </c>
      <c r="I50" s="550">
        <f>($J$250*C50+$J$253*G50+$J$252*H50)/B50</f>
        <v>817.57777777777778</v>
      </c>
      <c r="J50" s="550">
        <f>($G$250*C50+$G$253*G50+$G$252*H50)/B50</f>
        <v>1109.4017111111111</v>
      </c>
      <c r="K50" s="552">
        <f>($D$250*C50+$D$253*G50+$D$252*H50)/B50</f>
        <v>1154.588888888889</v>
      </c>
      <c r="L50" s="551">
        <f t="shared" si="2"/>
        <v>366.66666666666669</v>
      </c>
      <c r="M50" s="550">
        <f t="shared" si="3"/>
        <v>410</v>
      </c>
      <c r="N50" s="552"/>
      <c r="O50" s="551">
        <f>$D$298*E50/B50</f>
        <v>600</v>
      </c>
      <c r="P50" s="550">
        <f>$G$298*E50/B50</f>
        <v>1280</v>
      </c>
      <c r="Q50" s="552">
        <f>$J$298*E50/B50*1.15</f>
        <v>1472</v>
      </c>
      <c r="R50" s="550">
        <f t="shared" si="0"/>
        <v>2041.2</v>
      </c>
      <c r="S50" s="550">
        <f>$G$306*F50/B50</f>
        <v>2268</v>
      </c>
      <c r="T50" s="552">
        <f t="shared" si="1"/>
        <v>2660</v>
      </c>
    </row>
    <row r="51" spans="1:20" customFormat="1" x14ac:dyDescent="0.25">
      <c r="A51" s="24" t="s">
        <v>102</v>
      </c>
      <c r="B51" s="1">
        <v>2400</v>
      </c>
      <c r="C51" s="335">
        <f>'2 Bygningsmodeller'!I13</f>
        <v>532</v>
      </c>
      <c r="D51" s="540">
        <f>'2 Bygningsmodeller'!H13</f>
        <v>1200</v>
      </c>
      <c r="E51" s="2">
        <f>'2 Bygningsmodeller'!C13</f>
        <v>1200</v>
      </c>
      <c r="F51" s="540">
        <f>'2 Bygningsmodeller'!J13</f>
        <v>480</v>
      </c>
      <c r="G51" s="540">
        <v>60</v>
      </c>
      <c r="H51" s="336">
        <v>20</v>
      </c>
      <c r="I51" s="550">
        <f>($J$250*C51+$J$253*G51+$J$252*H51)/B51</f>
        <v>828.16666666666663</v>
      </c>
      <c r="J51" s="547">
        <f>((SUM(G79:G87)*C51+$G$99*G51+$G$98*H51)/B51)</f>
        <v>439.00978666666674</v>
      </c>
      <c r="K51" s="549">
        <f>((SUM(D79:D87)*C51+$D$99*G51+$D$98*H51)/B51)</f>
        <v>525.93232833333332</v>
      </c>
      <c r="L51" s="548">
        <f>$J$205*D51/B51</f>
        <v>630</v>
      </c>
      <c r="M51" s="547">
        <f>$G$205*D51/B51</f>
        <v>690</v>
      </c>
      <c r="N51" s="549"/>
      <c r="O51" s="548">
        <f>$D$154*E51/B51</f>
        <v>815</v>
      </c>
      <c r="P51" s="547">
        <f>$G$154*E51/B51</f>
        <v>2270</v>
      </c>
      <c r="Q51" s="549">
        <f>$J$154*E51/B51</f>
        <v>2380</v>
      </c>
      <c r="R51" s="550">
        <f t="shared" si="0"/>
        <v>2041.2</v>
      </c>
      <c r="S51" s="547">
        <f>$G$236*F51/B51</f>
        <v>2268</v>
      </c>
      <c r="T51" s="552">
        <f t="shared" si="1"/>
        <v>2660</v>
      </c>
    </row>
    <row r="52" spans="1:20" customFormat="1" x14ac:dyDescent="0.25">
      <c r="A52" s="24" t="s">
        <v>103</v>
      </c>
      <c r="B52" s="1">
        <v>2400</v>
      </c>
      <c r="C52" s="335">
        <f>'2 Bygningsmodeller'!I14</f>
        <v>532</v>
      </c>
      <c r="D52" s="540">
        <f>'2 Bygningsmodeller'!H14</f>
        <v>1200</v>
      </c>
      <c r="E52" s="2">
        <f>'2 Bygningsmodeller'!C14</f>
        <v>1200</v>
      </c>
      <c r="F52" s="540">
        <f>'2 Bygningsmodeller'!J14</f>
        <v>480</v>
      </c>
      <c r="G52" s="540">
        <v>60</v>
      </c>
      <c r="H52" s="336">
        <v>20</v>
      </c>
      <c r="I52" s="550">
        <f>($J$175*C52+$J$178*G52+$J$177*H52)/B52</f>
        <v>664.4666666666667</v>
      </c>
      <c r="J52" s="547">
        <f>($G$175*C52+$G$178*G52+$G$177*H52)/B52</f>
        <v>929.12634583333329</v>
      </c>
      <c r="K52" s="549">
        <f>($D$175*C52+$D$178*G52+$D$177*H52)/B52</f>
        <v>960.19166666666672</v>
      </c>
      <c r="L52" s="548">
        <f>$J$205*D52/B52</f>
        <v>630</v>
      </c>
      <c r="M52" s="547">
        <f>$G$205*D52/B52</f>
        <v>690</v>
      </c>
      <c r="N52" s="549"/>
      <c r="O52" s="548">
        <f>$D$229*E52/B52</f>
        <v>975</v>
      </c>
      <c r="P52" s="547">
        <f>$J$229*E52/B52</f>
        <v>1030</v>
      </c>
      <c r="Q52" s="549">
        <f>$G$229*E52/B52</f>
        <v>2165</v>
      </c>
      <c r="R52" s="547">
        <f>$J$236*F52/B52*0.9</f>
        <v>2041.2</v>
      </c>
      <c r="S52" s="547">
        <f>$G$236*F52/B52</f>
        <v>2268</v>
      </c>
      <c r="T52" s="549">
        <f>$D$236*F52/B52</f>
        <v>2660</v>
      </c>
    </row>
    <row r="53" spans="1:20" customFormat="1" x14ac:dyDescent="0.25">
      <c r="A53" s="24" t="s">
        <v>104</v>
      </c>
      <c r="B53" s="1">
        <v>3200</v>
      </c>
      <c r="C53" s="335">
        <f>'2 Bygningsmodeller'!I15</f>
        <v>1340</v>
      </c>
      <c r="D53" s="540">
        <f>'2 Bygningsmodeller'!H15</f>
        <v>3200</v>
      </c>
      <c r="E53" s="2">
        <f>'2 Bygningsmodeller'!C15</f>
        <v>3200</v>
      </c>
      <c r="F53" s="540">
        <f>'2 Bygningsmodeller'!J15</f>
        <v>640</v>
      </c>
      <c r="G53" s="540">
        <v>60</v>
      </c>
      <c r="H53" s="336">
        <v>20</v>
      </c>
      <c r="I53" s="547">
        <f>(($J$175+SUM(J88:J93))*C53+$J$178*G53+$J$177*H53)/B53</f>
        <v>1599.40625</v>
      </c>
      <c r="J53" s="547">
        <f>(($G$175+SUM(G88:G93))*C53+$G$178*G53+$G$177*H53)/B53</f>
        <v>2157.3072593750003</v>
      </c>
      <c r="K53" s="549">
        <f>(($D$175+SUM(D88:D93))*C53+$D$178*G53+$D$177*H53)/B53</f>
        <v>2238.125</v>
      </c>
      <c r="L53" s="548">
        <f>($J$205+J197/3)*D53/B53</f>
        <v>1356.666666666667</v>
      </c>
      <c r="M53" s="547">
        <f>($G$205+G197/3)*D53/B53</f>
        <v>1510</v>
      </c>
      <c r="N53" s="549"/>
      <c r="O53" s="548">
        <f>$D$229*E53/B53</f>
        <v>1950</v>
      </c>
      <c r="P53" s="547">
        <f>$J$229*E53/B53</f>
        <v>2060</v>
      </c>
      <c r="Q53" s="549">
        <f>$G$229*E53/B53</f>
        <v>4330</v>
      </c>
      <c r="R53" s="547">
        <f>$J$236*F53/B53*0.9</f>
        <v>2041.2</v>
      </c>
      <c r="S53" s="547">
        <f>$G$236*F53/B53</f>
        <v>2268</v>
      </c>
      <c r="T53" s="549">
        <f>$D$236*F53/B53</f>
        <v>2660</v>
      </c>
    </row>
    <row r="54" spans="1:20" customFormat="1" x14ac:dyDescent="0.25">
      <c r="A54" s="24" t="s">
        <v>105</v>
      </c>
      <c r="B54" s="1">
        <v>3600</v>
      </c>
      <c r="C54" s="335">
        <f>'2 Bygningsmodeller'!I16</f>
        <v>796</v>
      </c>
      <c r="D54" s="540">
        <f>'2 Bygningsmodeller'!H16</f>
        <v>1200</v>
      </c>
      <c r="E54" s="2">
        <f>'2 Bygningsmodeller'!C16</f>
        <v>1200</v>
      </c>
      <c r="F54" s="540">
        <f>'2 Bygningsmodeller'!J16</f>
        <v>720</v>
      </c>
      <c r="G54" s="540">
        <v>60</v>
      </c>
      <c r="H54" s="336">
        <v>20</v>
      </c>
      <c r="I54" s="550">
        <f>($J$250*C54+$J$253*G54+$J$252*H54)/B54</f>
        <v>817.57777777777778</v>
      </c>
      <c r="J54" s="550">
        <f>($G$250*C54+$G$253*G54+$G$252*H54)/B54</f>
        <v>1109.4017111111111</v>
      </c>
      <c r="K54" s="552">
        <f>($D$250*C54+$D$253*G54+$D$252*H54)/B54</f>
        <v>1154.588888888889</v>
      </c>
      <c r="L54" s="548">
        <f>$J$205*D54/B54</f>
        <v>420</v>
      </c>
      <c r="M54" s="547">
        <f>$G$205*D54/B54</f>
        <v>460</v>
      </c>
      <c r="N54" s="552"/>
      <c r="O54" s="551">
        <f>$D$298*E54/B54</f>
        <v>600</v>
      </c>
      <c r="P54" s="550">
        <f>$G$298*E54/B54</f>
        <v>1280</v>
      </c>
      <c r="Q54" s="552">
        <f>$J$298*E54/B54*1.15</f>
        <v>1472</v>
      </c>
      <c r="R54" s="550">
        <f>$J$306*F54/B54*0.9</f>
        <v>2041.2</v>
      </c>
      <c r="S54" s="550">
        <f>$G$306*F54/B54</f>
        <v>2268</v>
      </c>
      <c r="T54" s="552">
        <f>$D$306*F54/B54</f>
        <v>2660</v>
      </c>
    </row>
    <row r="55" spans="1:20" customFormat="1" x14ac:dyDescent="0.25">
      <c r="A55" s="26" t="s">
        <v>106</v>
      </c>
      <c r="B55" s="71">
        <v>2400</v>
      </c>
      <c r="C55" s="405">
        <f>'2 Bygningsmodeller'!I17</f>
        <v>532</v>
      </c>
      <c r="D55" s="541">
        <f>'2 Bygningsmodeller'!H17</f>
        <v>1200</v>
      </c>
      <c r="E55" s="406">
        <f>'2 Bygningsmodeller'!C17</f>
        <v>1200</v>
      </c>
      <c r="F55" s="541">
        <f>'2 Bygningsmodeller'!J17</f>
        <v>480</v>
      </c>
      <c r="G55" s="541">
        <v>60</v>
      </c>
      <c r="H55" s="407">
        <v>20</v>
      </c>
      <c r="I55" s="602">
        <f>($J$250*C55+$J$253*G55+$J$252*H55)/B55</f>
        <v>828.16666666666663</v>
      </c>
      <c r="J55" s="603">
        <f>($G$250*C55+$G$253*G55+$G$252*H55)/B55</f>
        <v>1132.8025666666667</v>
      </c>
      <c r="K55" s="604">
        <f>($D$250*C55+$D$253*G55+$D$252*H55)/B55</f>
        <v>1179.6833333333334</v>
      </c>
      <c r="L55" s="622">
        <f>$J$205*D55/B55</f>
        <v>630</v>
      </c>
      <c r="M55" s="623">
        <f>$G$205*D55/B55</f>
        <v>690</v>
      </c>
      <c r="N55" s="604"/>
      <c r="O55" s="602">
        <f>$D$298*E55/B55</f>
        <v>900</v>
      </c>
      <c r="P55" s="603">
        <f>$G$298*E55/B55</f>
        <v>1920</v>
      </c>
      <c r="Q55" s="604">
        <f>$J$298*E55/B55*1.15</f>
        <v>2208</v>
      </c>
      <c r="R55" s="603">
        <f>$J$306*F55/B55*0.9</f>
        <v>2041.2</v>
      </c>
      <c r="S55" s="603">
        <f>$G$306*F55/B55</f>
        <v>2268</v>
      </c>
      <c r="T55" s="604">
        <f>$D$306*F55/B55</f>
        <v>2660</v>
      </c>
    </row>
    <row r="56" spans="1:20" customFormat="1" x14ac:dyDescent="0.25"/>
    <row r="57" spans="1:20" customFormat="1" x14ac:dyDescent="0.25">
      <c r="I57" s="694" t="s">
        <v>998</v>
      </c>
      <c r="J57" s="695"/>
      <c r="K57" s="696"/>
      <c r="L57" s="694" t="s">
        <v>1012</v>
      </c>
      <c r="M57" s="695"/>
      <c r="N57" s="696"/>
    </row>
    <row r="58" spans="1:20" customFormat="1" x14ac:dyDescent="0.25">
      <c r="A58" s="73" t="s">
        <v>95</v>
      </c>
      <c r="B58" s="63" t="s">
        <v>163</v>
      </c>
      <c r="C58" s="620" t="s">
        <v>615</v>
      </c>
      <c r="D58" s="18" t="s">
        <v>616</v>
      </c>
      <c r="E58" s="66" t="s">
        <v>617</v>
      </c>
      <c r="F58" s="18" t="s">
        <v>618</v>
      </c>
      <c r="G58" s="18" t="s">
        <v>833</v>
      </c>
      <c r="H58" s="620" t="s">
        <v>834</v>
      </c>
      <c r="I58" s="17" t="s">
        <v>3</v>
      </c>
      <c r="J58" s="17" t="s">
        <v>143</v>
      </c>
      <c r="K58" s="17" t="s">
        <v>4</v>
      </c>
      <c r="L58" s="17" t="s">
        <v>3</v>
      </c>
      <c r="M58" s="17" t="s">
        <v>143</v>
      </c>
      <c r="N58" s="17" t="s">
        <v>4</v>
      </c>
    </row>
    <row r="59" spans="1:20" customFormat="1" x14ac:dyDescent="0.25">
      <c r="A59" s="68"/>
      <c r="B59" s="542" t="s">
        <v>174</v>
      </c>
      <c r="C59" s="542" t="s">
        <v>174</v>
      </c>
      <c r="D59" s="408" t="s">
        <v>174</v>
      </c>
      <c r="E59" s="543" t="s">
        <v>174</v>
      </c>
      <c r="F59" s="408" t="s">
        <v>174</v>
      </c>
      <c r="G59" s="408" t="s">
        <v>832</v>
      </c>
      <c r="H59" s="408" t="s">
        <v>832</v>
      </c>
      <c r="I59" s="17" t="s">
        <v>522</v>
      </c>
      <c r="J59" s="17" t="s">
        <v>522</v>
      </c>
      <c r="K59" s="17" t="s">
        <v>522</v>
      </c>
      <c r="L59" s="17" t="s">
        <v>522</v>
      </c>
      <c r="M59" s="17" t="s">
        <v>522</v>
      </c>
      <c r="N59" s="17" t="s">
        <v>522</v>
      </c>
    </row>
    <row r="60" spans="1:20" customFormat="1" x14ac:dyDescent="0.25">
      <c r="A60" s="619" t="s">
        <v>11</v>
      </c>
      <c r="B60" s="539">
        <f>B44</f>
        <v>160</v>
      </c>
      <c r="C60" s="539">
        <f t="shared" ref="C60:H60" si="4">C44</f>
        <v>160</v>
      </c>
      <c r="D60" s="539">
        <f t="shared" si="4"/>
        <v>90</v>
      </c>
      <c r="E60" s="539">
        <f t="shared" si="4"/>
        <v>80</v>
      </c>
      <c r="F60" s="332">
        <f t="shared" si="4"/>
        <v>32</v>
      </c>
      <c r="G60" s="539">
        <f t="shared" si="4"/>
        <v>10</v>
      </c>
      <c r="H60" s="334">
        <f t="shared" si="4"/>
        <v>8</v>
      </c>
      <c r="I60" s="544">
        <f>($J$119*C60+$J$122*G60+$J$121*H60)/B60</f>
        <v>1410</v>
      </c>
      <c r="J60" s="544">
        <f>($G$119*C60+$G$122*G60+$G$121*H60)/B60</f>
        <v>1540</v>
      </c>
      <c r="K60" s="545">
        <f>($D$119*C60+$D$122*G60+$D$121*H60)/B60</f>
        <v>1940</v>
      </c>
      <c r="L60" s="546">
        <f>$J$142*D60/B60</f>
        <v>309.375</v>
      </c>
      <c r="M60" s="544">
        <f>$G$142*D60/B60</f>
        <v>343.125</v>
      </c>
      <c r="N60" s="545">
        <f>$D$142*D60/B60</f>
        <v>708.75</v>
      </c>
    </row>
    <row r="61" spans="1:20" customFormat="1" x14ac:dyDescent="0.25">
      <c r="A61" s="577" t="s">
        <v>1</v>
      </c>
      <c r="B61" s="540">
        <f t="shared" ref="B61:H71" si="5">B45</f>
        <v>900</v>
      </c>
      <c r="C61" s="540">
        <f t="shared" si="5"/>
        <v>458</v>
      </c>
      <c r="D61" s="540">
        <f t="shared" si="5"/>
        <v>300</v>
      </c>
      <c r="E61" s="540">
        <f t="shared" si="5"/>
        <v>300</v>
      </c>
      <c r="F61" s="335">
        <f t="shared" si="5"/>
        <v>180</v>
      </c>
      <c r="G61" s="540">
        <f t="shared" si="5"/>
        <v>30</v>
      </c>
      <c r="H61" s="336">
        <f t="shared" si="5"/>
        <v>10</v>
      </c>
      <c r="I61" s="547">
        <f>($J$190*C61+$J$193*G61+$J$192*H61)/B61</f>
        <v>814.22222222222217</v>
      </c>
      <c r="J61" s="547">
        <f>($G$190*C61+$G$193*G61+$G$192*H61)/B61</f>
        <v>1089.0222222222221</v>
      </c>
      <c r="K61" s="549">
        <f>($D$190*C61+$D$193*G61+$D$192*H61)/B61</f>
        <v>1139.911111111111</v>
      </c>
      <c r="L61" s="548">
        <f>$J$217*D61/B61</f>
        <v>113.33333333333333</v>
      </c>
      <c r="M61" s="547">
        <f>$G$217*D61/B61</f>
        <v>153.33333333333334</v>
      </c>
      <c r="N61" s="549">
        <f>$D$217*D61/B61</f>
        <v>1013.3333333333334</v>
      </c>
    </row>
    <row r="62" spans="1:20" customFormat="1" x14ac:dyDescent="0.25">
      <c r="A62" s="316" t="s">
        <v>97</v>
      </c>
      <c r="B62" s="540">
        <f t="shared" si="5"/>
        <v>300</v>
      </c>
      <c r="C62" s="540">
        <f t="shared" si="5"/>
        <v>174</v>
      </c>
      <c r="D62" s="540">
        <f t="shared" si="5"/>
        <v>300</v>
      </c>
      <c r="E62" s="540">
        <f t="shared" si="5"/>
        <v>300</v>
      </c>
      <c r="F62" s="335">
        <f t="shared" si="5"/>
        <v>60</v>
      </c>
      <c r="G62" s="540">
        <f t="shared" si="5"/>
        <v>30</v>
      </c>
      <c r="H62" s="336">
        <f t="shared" si="5"/>
        <v>10</v>
      </c>
      <c r="I62" s="547">
        <f>((SUM(G102:G110)*C62+$G$122*G62+$G$121*H62)/B62)</f>
        <v>533.6</v>
      </c>
      <c r="J62" s="547">
        <f>((SUM(J102:J110)*C62+$J$122*G62+$J$121*H62)/B62)</f>
        <v>571.29999999999995</v>
      </c>
      <c r="K62" s="549">
        <f>((SUM(D102:D110)*C62+$D$122*G62+$D$121*H62)/B62)</f>
        <v>727.9</v>
      </c>
      <c r="L62" s="548">
        <f>$J$217*D62/B62</f>
        <v>340</v>
      </c>
      <c r="M62" s="547">
        <f>$G$217*D62/B62</f>
        <v>460</v>
      </c>
      <c r="N62" s="549">
        <f>($D$217-D208-D214-D213)*D62/B62</f>
        <v>2265</v>
      </c>
    </row>
    <row r="63" spans="1:20" customFormat="1" x14ac:dyDescent="0.25">
      <c r="A63" s="316" t="s">
        <v>98</v>
      </c>
      <c r="B63" s="540">
        <f t="shared" si="5"/>
        <v>3600</v>
      </c>
      <c r="C63" s="540">
        <f t="shared" si="5"/>
        <v>796</v>
      </c>
      <c r="D63" s="540">
        <f t="shared" si="5"/>
        <v>1200</v>
      </c>
      <c r="E63" s="540">
        <f t="shared" si="5"/>
        <v>1200</v>
      </c>
      <c r="F63" s="335">
        <f t="shared" si="5"/>
        <v>720</v>
      </c>
      <c r="G63" s="540">
        <f t="shared" si="5"/>
        <v>60</v>
      </c>
      <c r="H63" s="336">
        <f t="shared" si="5"/>
        <v>20</v>
      </c>
      <c r="I63" s="550">
        <f>($J$265*C63+$J$268*G63+$J$267*H63)/B63</f>
        <v>506.34444444444443</v>
      </c>
      <c r="J63" s="550">
        <f>($G$265*C63+$G$268*G63+$G$267*H63)/B63</f>
        <v>603.63333333333333</v>
      </c>
      <c r="K63" s="552">
        <f>($D$265*C63+$D$268*G63+$D$267*H63)/B63</f>
        <v>639.01111111111106</v>
      </c>
      <c r="L63" s="551">
        <f>$J$286*D63/B63</f>
        <v>60</v>
      </c>
      <c r="M63" s="550">
        <f>$G$286*D63/B63</f>
        <v>103.33333333333333</v>
      </c>
      <c r="N63" s="552">
        <f>$D$286*D63/B63</f>
        <v>196.66666666666666</v>
      </c>
    </row>
    <row r="64" spans="1:20" customFormat="1" x14ac:dyDescent="0.25">
      <c r="A64" s="316" t="s">
        <v>99</v>
      </c>
      <c r="B64" s="540">
        <f t="shared" si="5"/>
        <v>2400</v>
      </c>
      <c r="C64" s="540">
        <f t="shared" si="5"/>
        <v>532</v>
      </c>
      <c r="D64" s="540">
        <f t="shared" si="5"/>
        <v>1200</v>
      </c>
      <c r="E64" s="540">
        <f t="shared" si="5"/>
        <v>1200</v>
      </c>
      <c r="F64" s="335">
        <f t="shared" si="5"/>
        <v>480</v>
      </c>
      <c r="G64" s="540">
        <f t="shared" si="5"/>
        <v>60</v>
      </c>
      <c r="H64" s="336">
        <f t="shared" si="5"/>
        <v>20</v>
      </c>
      <c r="I64" s="550">
        <f>($J$265*C64+$J$268*G64+$J$267*H64)/B64</f>
        <v>507.61666666666667</v>
      </c>
      <c r="J64" s="550">
        <f>($G$265*C64+$G$268*G64+$G$267*H64)/B64</f>
        <v>605.15</v>
      </c>
      <c r="K64" s="552">
        <f>($D$265*C64+$D$268*G64+$D$267*H64)/B64</f>
        <v>640.61666666666667</v>
      </c>
      <c r="L64" s="551">
        <f t="shared" ref="L64:L66" si="6">$J$286*D64/B64</f>
        <v>90</v>
      </c>
      <c r="M64" s="550">
        <f t="shared" ref="M64:M66" si="7">$G$286*D64/B64</f>
        <v>155</v>
      </c>
      <c r="N64" s="552">
        <f t="shared" ref="N64:N65" si="8">$D$286*D64/B64</f>
        <v>295</v>
      </c>
    </row>
    <row r="65" spans="1:16" customFormat="1" x14ac:dyDescent="0.25">
      <c r="A65" s="316" t="s">
        <v>100</v>
      </c>
      <c r="B65" s="540">
        <f t="shared" si="5"/>
        <v>3600</v>
      </c>
      <c r="C65" s="540">
        <f t="shared" si="5"/>
        <v>796</v>
      </c>
      <c r="D65" s="540">
        <f t="shared" si="5"/>
        <v>1200</v>
      </c>
      <c r="E65" s="540">
        <f t="shared" si="5"/>
        <v>1200</v>
      </c>
      <c r="F65" s="335">
        <f t="shared" si="5"/>
        <v>720</v>
      </c>
      <c r="G65" s="540">
        <f t="shared" si="5"/>
        <v>60</v>
      </c>
      <c r="H65" s="336">
        <f t="shared" si="5"/>
        <v>20</v>
      </c>
      <c r="I65" s="550">
        <f>($J$265*C65+$J$268*G65+$J$267*H65)/B65</f>
        <v>506.34444444444443</v>
      </c>
      <c r="J65" s="550">
        <f>($G$265*C65+$G$268*G65+$G$267*H65)/B65</f>
        <v>603.63333333333333</v>
      </c>
      <c r="K65" s="552">
        <f>($D$265*C65+$D$268*G65+$D$267*H65)/B65</f>
        <v>639.01111111111106</v>
      </c>
      <c r="L65" s="551">
        <f t="shared" si="6"/>
        <v>60</v>
      </c>
      <c r="M65" s="550">
        <f t="shared" si="7"/>
        <v>103.33333333333333</v>
      </c>
      <c r="N65" s="552">
        <f t="shared" si="8"/>
        <v>196.66666666666666</v>
      </c>
    </row>
    <row r="66" spans="1:16" customFormat="1" x14ac:dyDescent="0.25">
      <c r="A66" s="316" t="s">
        <v>101</v>
      </c>
      <c r="B66" s="540">
        <f t="shared" si="5"/>
        <v>3600</v>
      </c>
      <c r="C66" s="540">
        <f t="shared" si="5"/>
        <v>796</v>
      </c>
      <c r="D66" s="540">
        <f t="shared" si="5"/>
        <v>1200</v>
      </c>
      <c r="E66" s="540">
        <f t="shared" si="5"/>
        <v>1200</v>
      </c>
      <c r="F66" s="335">
        <f t="shared" si="5"/>
        <v>720</v>
      </c>
      <c r="G66" s="540">
        <f t="shared" si="5"/>
        <v>60</v>
      </c>
      <c r="H66" s="336">
        <f t="shared" si="5"/>
        <v>20</v>
      </c>
      <c r="I66" s="550">
        <f>($J$265*C66+$J$268*G66+$J$267*H66)/B66</f>
        <v>506.34444444444443</v>
      </c>
      <c r="J66" s="550">
        <f>($G$265*C66+$G$268*G66+$G$267*H66)/B66</f>
        <v>603.63333333333333</v>
      </c>
      <c r="K66" s="552">
        <f>($D$265*C66+$D$268*G66+$D$267*H66)/B66</f>
        <v>639.01111111111106</v>
      </c>
      <c r="L66" s="551">
        <f t="shared" si="6"/>
        <v>60</v>
      </c>
      <c r="M66" s="550">
        <f t="shared" si="7"/>
        <v>103.33333333333333</v>
      </c>
      <c r="N66" s="552">
        <f>$D$286*D66/B66</f>
        <v>196.66666666666666</v>
      </c>
    </row>
    <row r="67" spans="1:16" customFormat="1" x14ac:dyDescent="0.25">
      <c r="A67" s="316" t="s">
        <v>102</v>
      </c>
      <c r="B67" s="540">
        <f t="shared" si="5"/>
        <v>2400</v>
      </c>
      <c r="C67" s="540">
        <f t="shared" si="5"/>
        <v>532</v>
      </c>
      <c r="D67" s="540">
        <f t="shared" si="5"/>
        <v>1200</v>
      </c>
      <c r="E67" s="540">
        <f t="shared" si="5"/>
        <v>1200</v>
      </c>
      <c r="F67" s="335">
        <f t="shared" si="5"/>
        <v>480</v>
      </c>
      <c r="G67" s="540">
        <f t="shared" si="5"/>
        <v>60</v>
      </c>
      <c r="H67" s="336">
        <f t="shared" si="5"/>
        <v>20</v>
      </c>
      <c r="I67" s="550">
        <f>($J$265*C67+$J$268*G67+$J$267*H67)/B67</f>
        <v>507.61666666666667</v>
      </c>
      <c r="J67" s="547">
        <f>((SUM(G102:G110)*C67+$G$122*G67+$G$121*H67)/B67)</f>
        <v>203.93333333333334</v>
      </c>
      <c r="K67" s="549">
        <f>((SUM(D102:D110)*C67+$D$122*G67+$D$121*H67)/B67)</f>
        <v>278.19166666666666</v>
      </c>
      <c r="L67" s="548">
        <f>$J$217*D67/B67</f>
        <v>170</v>
      </c>
      <c r="M67" s="547">
        <f>$G$217*D67/B67</f>
        <v>230</v>
      </c>
      <c r="N67" s="549">
        <f>($D$217-D208-D214-D213)*D67/B67</f>
        <v>1132.5</v>
      </c>
    </row>
    <row r="68" spans="1:16" customFormat="1" x14ac:dyDescent="0.25">
      <c r="A68" s="316" t="s">
        <v>103</v>
      </c>
      <c r="B68" s="540">
        <f t="shared" si="5"/>
        <v>2400</v>
      </c>
      <c r="C68" s="540">
        <f t="shared" si="5"/>
        <v>532</v>
      </c>
      <c r="D68" s="540">
        <f t="shared" si="5"/>
        <v>1200</v>
      </c>
      <c r="E68" s="540">
        <f t="shared" si="5"/>
        <v>1200</v>
      </c>
      <c r="F68" s="335">
        <f t="shared" si="5"/>
        <v>480</v>
      </c>
      <c r="G68" s="540">
        <f t="shared" si="5"/>
        <v>60</v>
      </c>
      <c r="H68" s="336">
        <f t="shared" si="5"/>
        <v>20</v>
      </c>
      <c r="I68" s="550">
        <f>($J$190*C68+$J$193*G68+$J$192*H68)/B68</f>
        <v>354.66666666666669</v>
      </c>
      <c r="J68" s="547">
        <f>($G$190*C68+$G$193*G68+$G$192*H68)/B68</f>
        <v>474.36666666666667</v>
      </c>
      <c r="K68" s="549">
        <f>($D$190*C68+$D$193*G68+$D$192*H68)/B68</f>
        <v>496.53333333333336</v>
      </c>
      <c r="L68" s="548">
        <f>$J$217*D68/B68</f>
        <v>170</v>
      </c>
      <c r="M68" s="547">
        <f>$G$217*D68/B68</f>
        <v>230</v>
      </c>
      <c r="N68" s="549">
        <f>($D$217-D209-D215-D214)*D68/B68</f>
        <v>1210</v>
      </c>
    </row>
    <row r="69" spans="1:16" customFormat="1" x14ac:dyDescent="0.25">
      <c r="A69" s="316" t="s">
        <v>104</v>
      </c>
      <c r="B69" s="540">
        <f t="shared" si="5"/>
        <v>3200</v>
      </c>
      <c r="C69" s="540">
        <f t="shared" si="5"/>
        <v>1340</v>
      </c>
      <c r="D69" s="540">
        <f t="shared" si="5"/>
        <v>3200</v>
      </c>
      <c r="E69" s="540">
        <f t="shared" si="5"/>
        <v>3200</v>
      </c>
      <c r="F69" s="335">
        <f t="shared" si="5"/>
        <v>640</v>
      </c>
      <c r="G69" s="540">
        <f t="shared" si="5"/>
        <v>60</v>
      </c>
      <c r="H69" s="336">
        <f t="shared" si="5"/>
        <v>20</v>
      </c>
      <c r="I69" s="547">
        <f>(($J$190+SUM(J111:J116))*C69+$J$193*G69+$J$192*H69)/B69</f>
        <v>847.96875</v>
      </c>
      <c r="J69" s="547">
        <f>(($G$190+SUM(G111:G116))*C69+$G$193*G69+$G$192*H69)/B69</f>
        <v>1155.75</v>
      </c>
      <c r="K69" s="549">
        <f>(($D$190+SUM(D111:D116))*C69+$D$193*G69+$D$192*H69)/B69</f>
        <v>1224.84375</v>
      </c>
      <c r="L69" s="548">
        <f>($J$209+J217/3)*D69/B69</f>
        <v>403.33333333333326</v>
      </c>
      <c r="M69" s="547">
        <f>($G$209+G217/3)*D69/B69</f>
        <v>543.33333333333337</v>
      </c>
      <c r="N69" s="549">
        <f>($D$217-D208-D214-D213+(D211+D212)/3)*D69/B69</f>
        <v>2658.3333333333339</v>
      </c>
    </row>
    <row r="70" spans="1:16" customFormat="1" x14ac:dyDescent="0.25">
      <c r="A70" s="316" t="s">
        <v>105</v>
      </c>
      <c r="B70" s="540">
        <f t="shared" si="5"/>
        <v>3600</v>
      </c>
      <c r="C70" s="540">
        <f t="shared" si="5"/>
        <v>796</v>
      </c>
      <c r="D70" s="540">
        <f t="shared" si="5"/>
        <v>1200</v>
      </c>
      <c r="E70" s="540">
        <f t="shared" si="5"/>
        <v>1200</v>
      </c>
      <c r="F70" s="335">
        <f t="shared" si="5"/>
        <v>720</v>
      </c>
      <c r="G70" s="540">
        <f t="shared" si="5"/>
        <v>60</v>
      </c>
      <c r="H70" s="336">
        <f t="shared" si="5"/>
        <v>20</v>
      </c>
      <c r="I70" s="550">
        <f>($J$265*C70+$J$268*G70+$J$267*H70)/B70</f>
        <v>506.34444444444443</v>
      </c>
      <c r="J70" s="550">
        <f>($G$265*C70+$G$268*G70+$G$267*H70)/B70</f>
        <v>603.63333333333333</v>
      </c>
      <c r="K70" s="552">
        <f>($D$265*C70+$D$268*G70+$D$267*H70)/B70</f>
        <v>639.01111111111106</v>
      </c>
      <c r="L70" s="548">
        <f>$J$217*D70/B70</f>
        <v>113.33333333333333</v>
      </c>
      <c r="M70" s="547">
        <f>$G$217*D70/B70</f>
        <v>153.33333333333334</v>
      </c>
      <c r="N70" s="549">
        <f>($D$217-D208-D214-D213)*D70/B70</f>
        <v>755</v>
      </c>
    </row>
    <row r="71" spans="1:16" customFormat="1" x14ac:dyDescent="0.25">
      <c r="A71" s="398" t="s">
        <v>106</v>
      </c>
      <c r="B71" s="541">
        <f t="shared" si="5"/>
        <v>2400</v>
      </c>
      <c r="C71" s="541">
        <f t="shared" si="5"/>
        <v>532</v>
      </c>
      <c r="D71" s="541">
        <f t="shared" si="5"/>
        <v>1200</v>
      </c>
      <c r="E71" s="541">
        <f t="shared" si="5"/>
        <v>1200</v>
      </c>
      <c r="F71" s="405">
        <f t="shared" si="5"/>
        <v>480</v>
      </c>
      <c r="G71" s="541">
        <f t="shared" si="5"/>
        <v>60</v>
      </c>
      <c r="H71" s="407">
        <f t="shared" si="5"/>
        <v>20</v>
      </c>
      <c r="I71" s="602">
        <f>($J$265*C71+$J$268*G71+$J$267*H71)/B71</f>
        <v>507.61666666666667</v>
      </c>
      <c r="J71" s="603">
        <f>($G$265*C71+$G$268*G71+$G$267*H71)/B71</f>
        <v>605.15</v>
      </c>
      <c r="K71" s="604">
        <f>($D$265*C71+$D$268*G71+$D$267*H71)/B71</f>
        <v>640.61666666666667</v>
      </c>
      <c r="L71" s="622">
        <f>$J$217*D71/B71</f>
        <v>170</v>
      </c>
      <c r="M71" s="623">
        <f>$G$217*D71/B71</f>
        <v>230</v>
      </c>
      <c r="N71" s="624">
        <f>($D$217-D208-D214-D213)*D71/B71</f>
        <v>1132.5</v>
      </c>
    </row>
    <row r="72" spans="1:16" customFormat="1" x14ac:dyDescent="0.25">
      <c r="A72" s="78"/>
      <c r="B72" s="2"/>
      <c r="C72" s="2"/>
      <c r="D72" s="2"/>
      <c r="E72" s="2"/>
      <c r="F72" s="2"/>
      <c r="G72" s="2"/>
      <c r="H72" s="2"/>
      <c r="I72" s="550"/>
      <c r="J72" s="550"/>
      <c r="K72" s="550"/>
    </row>
    <row r="73" spans="1:16" customFormat="1" x14ac:dyDescent="0.25">
      <c r="A73" s="196" t="s">
        <v>1111</v>
      </c>
      <c r="B73" s="196"/>
      <c r="C73" s="196">
        <v>1.1032999999999999</v>
      </c>
    </row>
    <row r="74" spans="1:16" customFormat="1" x14ac:dyDescent="0.25"/>
    <row r="75" spans="1:16" s="7" customFormat="1" ht="15" customHeight="1" x14ac:dyDescent="0.25">
      <c r="A75" s="412"/>
      <c r="B75" s="701" t="s">
        <v>619</v>
      </c>
      <c r="C75" s="702"/>
      <c r="D75" s="702"/>
      <c r="E75" s="703" t="s">
        <v>121</v>
      </c>
      <c r="F75" s="704"/>
      <c r="G75" s="704"/>
      <c r="H75" s="705" t="s">
        <v>620</v>
      </c>
      <c r="I75" s="706"/>
      <c r="J75" s="706"/>
      <c r="K75"/>
      <c r="L75"/>
      <c r="M75" s="410"/>
    </row>
    <row r="76" spans="1:16" s="11" customFormat="1" ht="15.75" x14ac:dyDescent="0.25">
      <c r="A76" s="413"/>
      <c r="B76" s="8" t="s">
        <v>39</v>
      </c>
      <c r="C76" s="9" t="s">
        <v>5</v>
      </c>
      <c r="D76" s="10" t="s">
        <v>26</v>
      </c>
      <c r="E76" s="8" t="s">
        <v>39</v>
      </c>
      <c r="F76" s="9" t="s">
        <v>5</v>
      </c>
      <c r="G76" s="10" t="s">
        <v>26</v>
      </c>
      <c r="H76" s="8" t="s">
        <v>39</v>
      </c>
      <c r="I76" s="9" t="s">
        <v>5</v>
      </c>
      <c r="J76" s="10" t="s">
        <v>26</v>
      </c>
      <c r="K76"/>
      <c r="L76"/>
      <c r="M76" s="411"/>
    </row>
    <row r="77" spans="1:16" s="7" customFormat="1" ht="21" x14ac:dyDescent="0.25">
      <c r="A77" s="414" t="s">
        <v>0</v>
      </c>
      <c r="B77" s="415" t="s">
        <v>0</v>
      </c>
      <c r="C77" s="416"/>
      <c r="D77" s="417"/>
      <c r="E77" s="415" t="s">
        <v>0</v>
      </c>
      <c r="F77" s="416"/>
      <c r="G77" s="417"/>
      <c r="H77" s="415" t="s">
        <v>0</v>
      </c>
      <c r="I77" s="416"/>
      <c r="J77" s="417"/>
      <c r="K77"/>
      <c r="L77"/>
      <c r="M77" s="410"/>
    </row>
    <row r="78" spans="1:16" s="491" customFormat="1" ht="62.45" customHeight="1" x14ac:dyDescent="0.25">
      <c r="A78" s="487" t="s">
        <v>615</v>
      </c>
      <c r="B78" s="488" t="s">
        <v>659</v>
      </c>
      <c r="C78" s="419" t="s">
        <v>627</v>
      </c>
      <c r="D78" s="489"/>
      <c r="E78" s="488" t="s">
        <v>660</v>
      </c>
      <c r="F78" s="419" t="s">
        <v>626</v>
      </c>
      <c r="G78" s="489"/>
      <c r="H78" s="488" t="s">
        <v>661</v>
      </c>
      <c r="I78" s="419" t="s">
        <v>625</v>
      </c>
      <c r="J78" s="489"/>
      <c r="K78"/>
      <c r="L78"/>
      <c r="M78" s="490"/>
    </row>
    <row r="79" spans="1:16" s="491" customFormat="1" x14ac:dyDescent="0.25">
      <c r="A79" s="492"/>
      <c r="B79" s="493" t="s">
        <v>27</v>
      </c>
      <c r="C79" s="418" t="s">
        <v>25</v>
      </c>
      <c r="D79" s="486">
        <f>90*C73</f>
        <v>99.296999999999997</v>
      </c>
      <c r="E79" s="493" t="s">
        <v>27</v>
      </c>
      <c r="F79" s="418" t="s">
        <v>25</v>
      </c>
      <c r="G79" s="486">
        <f>90*C73</f>
        <v>99.296999999999997</v>
      </c>
      <c r="H79" s="493" t="s">
        <v>27</v>
      </c>
      <c r="I79" s="418" t="s">
        <v>25</v>
      </c>
      <c r="J79" s="494">
        <f>G79</f>
        <v>99.296999999999997</v>
      </c>
      <c r="K79"/>
      <c r="L79"/>
      <c r="M79" s="490"/>
    </row>
    <row r="80" spans="1:16" s="491" customFormat="1" ht="29.45" customHeight="1" x14ac:dyDescent="0.25">
      <c r="A80" s="492"/>
      <c r="B80" s="495" t="s">
        <v>28</v>
      </c>
      <c r="C80" s="418" t="s">
        <v>796</v>
      </c>
      <c r="D80" s="496">
        <v>540</v>
      </c>
      <c r="E80" s="495" t="s">
        <v>28</v>
      </c>
      <c r="F80" s="418" t="s">
        <v>797</v>
      </c>
      <c r="G80" s="496">
        <v>330</v>
      </c>
      <c r="H80" s="495" t="s">
        <v>28</v>
      </c>
      <c r="I80" s="418" t="s">
        <v>798</v>
      </c>
      <c r="J80" s="497">
        <v>355</v>
      </c>
      <c r="K80"/>
      <c r="L80"/>
      <c r="M80" s="490"/>
      <c r="O80" s="553">
        <f>(J80-G80)/G80</f>
        <v>7.575757575757576E-2</v>
      </c>
      <c r="P80" s="553">
        <f>(D80-J80)/J80</f>
        <v>0.52112676056338025</v>
      </c>
    </row>
    <row r="81" spans="1:16" s="491" customFormat="1" x14ac:dyDescent="0.25">
      <c r="A81" s="492"/>
      <c r="B81" s="493" t="s">
        <v>29</v>
      </c>
      <c r="C81" s="418" t="s">
        <v>799</v>
      </c>
      <c r="D81" s="486">
        <v>415</v>
      </c>
      <c r="E81" s="493" t="s">
        <v>29</v>
      </c>
      <c r="F81" s="418" t="s">
        <v>800</v>
      </c>
      <c r="G81" s="486">
        <v>290</v>
      </c>
      <c r="H81" s="493" t="s">
        <v>29</v>
      </c>
      <c r="I81" s="418" t="s">
        <v>754</v>
      </c>
      <c r="J81" s="494">
        <v>330</v>
      </c>
      <c r="K81"/>
      <c r="L81"/>
      <c r="M81" s="490"/>
      <c r="O81" s="553">
        <f>(J81-G81)/G81</f>
        <v>0.13793103448275862</v>
      </c>
      <c r="P81" s="553">
        <f>(D81-J81)/J81</f>
        <v>0.25757575757575757</v>
      </c>
    </row>
    <row r="82" spans="1:16" s="491" customFormat="1" x14ac:dyDescent="0.25">
      <c r="A82" s="492"/>
      <c r="B82" s="493" t="s">
        <v>30</v>
      </c>
      <c r="C82" s="418" t="s">
        <v>33</v>
      </c>
      <c r="D82" s="486">
        <f>70*C73</f>
        <v>77.230999999999995</v>
      </c>
      <c r="E82" s="493" t="s">
        <v>30</v>
      </c>
      <c r="F82" s="418" t="s">
        <v>33</v>
      </c>
      <c r="G82" s="486">
        <f>70*C73</f>
        <v>77.230999999999995</v>
      </c>
      <c r="H82" s="493" t="s">
        <v>30</v>
      </c>
      <c r="I82" s="418" t="s">
        <v>33</v>
      </c>
      <c r="J82" s="494">
        <f>G82</f>
        <v>77.230999999999995</v>
      </c>
      <c r="K82"/>
      <c r="L82"/>
      <c r="M82" s="490"/>
    </row>
    <row r="83" spans="1:16" s="491" customFormat="1" x14ac:dyDescent="0.25">
      <c r="A83" s="492"/>
      <c r="B83" s="493" t="s">
        <v>31</v>
      </c>
      <c r="C83" s="418" t="s">
        <v>38</v>
      </c>
      <c r="D83" s="486">
        <f>90*C73</f>
        <v>99.296999999999997</v>
      </c>
      <c r="E83" s="493" t="s">
        <v>31</v>
      </c>
      <c r="F83" s="418" t="s">
        <v>38</v>
      </c>
      <c r="G83" s="486">
        <f>90*C73</f>
        <v>99.296999999999997</v>
      </c>
      <c r="H83" s="493" t="s">
        <v>31</v>
      </c>
      <c r="I83" s="418" t="s">
        <v>38</v>
      </c>
      <c r="J83" s="494">
        <f>G83</f>
        <v>99.296999999999997</v>
      </c>
      <c r="K83"/>
      <c r="L83"/>
      <c r="M83" s="490"/>
    </row>
    <row r="84" spans="1:16" s="491" customFormat="1" x14ac:dyDescent="0.25">
      <c r="A84" s="492"/>
      <c r="B84" s="493" t="s">
        <v>32</v>
      </c>
      <c r="C84" s="418" t="s">
        <v>40</v>
      </c>
      <c r="D84" s="486">
        <f>380*C73</f>
        <v>419.25399999999996</v>
      </c>
      <c r="E84" s="493" t="s">
        <v>32</v>
      </c>
      <c r="F84" s="418" t="s">
        <v>40</v>
      </c>
      <c r="G84" s="486">
        <f>380*C73</f>
        <v>419.25399999999996</v>
      </c>
      <c r="H84" s="493" t="s">
        <v>32</v>
      </c>
      <c r="I84" s="418" t="s">
        <v>40</v>
      </c>
      <c r="J84" s="494">
        <f>G84</f>
        <v>419.25399999999996</v>
      </c>
      <c r="K84"/>
      <c r="L84"/>
      <c r="M84" s="490"/>
    </row>
    <row r="85" spans="1:16" s="491" customFormat="1" ht="30" x14ac:dyDescent="0.25">
      <c r="A85" s="492"/>
      <c r="B85" s="493" t="s">
        <v>37</v>
      </c>
      <c r="C85" s="418" t="s">
        <v>801</v>
      </c>
      <c r="D85" s="486">
        <v>300</v>
      </c>
      <c r="E85" s="493" t="s">
        <v>37</v>
      </c>
      <c r="F85" s="418" t="s">
        <v>654</v>
      </c>
      <c r="G85" s="486">
        <v>300</v>
      </c>
      <c r="H85" s="493" t="s">
        <v>37</v>
      </c>
      <c r="I85" s="418" t="s">
        <v>755</v>
      </c>
      <c r="J85" s="494">
        <f>G85</f>
        <v>300</v>
      </c>
      <c r="K85"/>
      <c r="L85"/>
      <c r="M85" s="490"/>
    </row>
    <row r="86" spans="1:16" s="491" customFormat="1" ht="45" x14ac:dyDescent="0.25">
      <c r="A86" s="492"/>
      <c r="B86" s="493" t="s">
        <v>42</v>
      </c>
      <c r="C86" s="418" t="s">
        <v>802</v>
      </c>
      <c r="D86" s="486">
        <v>0</v>
      </c>
      <c r="E86" s="493" t="s">
        <v>42</v>
      </c>
      <c r="F86" s="418" t="s">
        <v>802</v>
      </c>
      <c r="G86" s="486">
        <v>0</v>
      </c>
      <c r="H86" s="493" t="s">
        <v>42</v>
      </c>
      <c r="I86" s="418" t="s">
        <v>756</v>
      </c>
      <c r="J86" s="494">
        <f t="shared" ref="J86:J93" si="9">G86</f>
        <v>0</v>
      </c>
      <c r="K86"/>
      <c r="L86"/>
      <c r="M86" s="490"/>
    </row>
    <row r="87" spans="1:16" s="491" customFormat="1" x14ac:dyDescent="0.25">
      <c r="A87" s="492"/>
      <c r="B87" s="493" t="s">
        <v>46</v>
      </c>
      <c r="C87" s="418" t="s">
        <v>34</v>
      </c>
      <c r="D87" s="486">
        <f>100*C73</f>
        <v>110.33</v>
      </c>
      <c r="E87" s="493" t="s">
        <v>46</v>
      </c>
      <c r="F87" s="418" t="s">
        <v>34</v>
      </c>
      <c r="G87" s="486">
        <f>100*C73</f>
        <v>110.33</v>
      </c>
      <c r="H87" s="493" t="s">
        <v>46</v>
      </c>
      <c r="I87" s="418" t="s">
        <v>34</v>
      </c>
      <c r="J87" s="494">
        <f t="shared" si="9"/>
        <v>110.33</v>
      </c>
      <c r="K87"/>
      <c r="L87"/>
      <c r="M87" s="490"/>
    </row>
    <row r="88" spans="1:16" s="491" customFormat="1" x14ac:dyDescent="0.25">
      <c r="A88" s="492"/>
      <c r="B88" s="493" t="s">
        <v>650</v>
      </c>
      <c r="C88" s="491" t="s">
        <v>757</v>
      </c>
      <c r="D88" s="486">
        <v>100</v>
      </c>
      <c r="E88" s="493" t="s">
        <v>650</v>
      </c>
      <c r="F88" s="491" t="s">
        <v>757</v>
      </c>
      <c r="G88" s="486">
        <v>100</v>
      </c>
      <c r="H88" s="493" t="s">
        <v>650</v>
      </c>
      <c r="I88" s="491" t="s">
        <v>757</v>
      </c>
      <c r="J88" s="494">
        <f t="shared" si="9"/>
        <v>100</v>
      </c>
      <c r="K88"/>
      <c r="L88"/>
      <c r="M88" s="490"/>
    </row>
    <row r="89" spans="1:16" s="491" customFormat="1" x14ac:dyDescent="0.25">
      <c r="A89" s="492"/>
      <c r="B89" s="493" t="s">
        <v>651</v>
      </c>
      <c r="C89" s="418" t="s">
        <v>758</v>
      </c>
      <c r="D89" s="486">
        <v>355</v>
      </c>
      <c r="E89" s="493" t="s">
        <v>651</v>
      </c>
      <c r="F89" s="418" t="s">
        <v>759</v>
      </c>
      <c r="G89" s="486">
        <v>330</v>
      </c>
      <c r="H89" s="493" t="s">
        <v>651</v>
      </c>
      <c r="I89" s="418" t="s">
        <v>760</v>
      </c>
      <c r="J89" s="494">
        <v>260</v>
      </c>
      <c r="K89"/>
      <c r="L89"/>
      <c r="M89" s="490"/>
    </row>
    <row r="90" spans="1:16" s="491" customFormat="1" x14ac:dyDescent="0.25">
      <c r="A90" s="492"/>
      <c r="B90" s="493" t="s">
        <v>652</v>
      </c>
      <c r="C90" s="418" t="s">
        <v>761</v>
      </c>
      <c r="D90" s="486">
        <v>330</v>
      </c>
      <c r="E90" s="493" t="s">
        <v>652</v>
      </c>
      <c r="F90" s="418" t="s">
        <v>762</v>
      </c>
      <c r="G90" s="486">
        <v>290</v>
      </c>
      <c r="H90" s="493" t="s">
        <v>652</v>
      </c>
      <c r="I90" s="418" t="s">
        <v>763</v>
      </c>
      <c r="J90" s="494">
        <v>165</v>
      </c>
      <c r="K90"/>
      <c r="L90"/>
      <c r="M90" s="490"/>
    </row>
    <row r="91" spans="1:16" s="491" customFormat="1" x14ac:dyDescent="0.25">
      <c r="A91" s="492"/>
      <c r="B91" s="493" t="s">
        <v>653</v>
      </c>
      <c r="C91" s="418" t="s">
        <v>764</v>
      </c>
      <c r="D91" s="486">
        <v>40</v>
      </c>
      <c r="E91" s="493" t="s">
        <v>653</v>
      </c>
      <c r="F91" s="418" t="s">
        <v>764</v>
      </c>
      <c r="G91" s="486">
        <v>40</v>
      </c>
      <c r="H91" s="493" t="s">
        <v>653</v>
      </c>
      <c r="I91" s="418" t="s">
        <v>764</v>
      </c>
      <c r="J91" s="494">
        <f t="shared" si="9"/>
        <v>40</v>
      </c>
      <c r="K91"/>
      <c r="L91"/>
      <c r="M91" s="490"/>
    </row>
    <row r="92" spans="1:16" s="491" customFormat="1" ht="30" x14ac:dyDescent="0.25">
      <c r="A92" s="492"/>
      <c r="B92" s="493" t="s">
        <v>765</v>
      </c>
      <c r="C92" s="418" t="s">
        <v>766</v>
      </c>
      <c r="D92" s="486">
        <v>280</v>
      </c>
      <c r="E92" s="493" t="s">
        <v>765</v>
      </c>
      <c r="F92" s="418" t="s">
        <v>766</v>
      </c>
      <c r="G92" s="486">
        <v>280</v>
      </c>
      <c r="H92" s="493" t="s">
        <v>765</v>
      </c>
      <c r="I92" s="418" t="s">
        <v>766</v>
      </c>
      <c r="J92" s="494">
        <f t="shared" si="9"/>
        <v>280</v>
      </c>
      <c r="K92"/>
      <c r="L92"/>
      <c r="M92" s="490"/>
    </row>
    <row r="93" spans="1:16" s="491" customFormat="1" x14ac:dyDescent="0.25">
      <c r="A93" s="492"/>
      <c r="B93" s="493" t="s">
        <v>767</v>
      </c>
      <c r="C93" s="418" t="s">
        <v>768</v>
      </c>
      <c r="D93" s="486">
        <v>90</v>
      </c>
      <c r="E93" s="493" t="s">
        <v>767</v>
      </c>
      <c r="F93" s="418" t="s">
        <v>768</v>
      </c>
      <c r="G93" s="486">
        <v>90</v>
      </c>
      <c r="H93" s="493" t="s">
        <v>767</v>
      </c>
      <c r="I93" s="418" t="s">
        <v>768</v>
      </c>
      <c r="J93" s="494">
        <f t="shared" si="9"/>
        <v>90</v>
      </c>
      <c r="K93"/>
      <c r="L93"/>
      <c r="M93" s="490"/>
    </row>
    <row r="94" spans="1:16" s="491" customFormat="1" x14ac:dyDescent="0.25">
      <c r="A94" s="492"/>
      <c r="B94" s="493"/>
      <c r="C94" s="418"/>
      <c r="D94" s="486"/>
      <c r="E94" s="493"/>
      <c r="F94" s="418"/>
      <c r="G94" s="486"/>
      <c r="H94" s="493"/>
      <c r="I94" s="418"/>
      <c r="J94" s="494"/>
      <c r="K94"/>
      <c r="L94"/>
      <c r="M94" s="490"/>
    </row>
    <row r="95" spans="1:16" s="491" customFormat="1" x14ac:dyDescent="0.25">
      <c r="A95" s="492"/>
      <c r="B95" s="493"/>
      <c r="C95" s="418"/>
      <c r="D95" s="486"/>
      <c r="E95" s="493"/>
      <c r="F95" s="418"/>
      <c r="G95" s="486"/>
      <c r="H95" s="493"/>
      <c r="I95" s="418"/>
      <c r="J95" s="494"/>
      <c r="K95"/>
      <c r="L95"/>
      <c r="M95" s="490"/>
    </row>
    <row r="96" spans="1:16" s="491" customFormat="1" x14ac:dyDescent="0.25">
      <c r="A96" s="492"/>
      <c r="B96" s="499" t="s">
        <v>67</v>
      </c>
      <c r="C96" s="500" t="s">
        <v>35</v>
      </c>
      <c r="D96" s="501">
        <f>ROUNDUP(SUM(D79:D95)*1.17,-1)</f>
        <v>3810</v>
      </c>
      <c r="E96" s="499" t="s">
        <v>67</v>
      </c>
      <c r="F96" s="500" t="s">
        <v>35</v>
      </c>
      <c r="G96" s="501">
        <f>ROUNDUP(SUM(G79:G95)*1.17,-1)</f>
        <v>3350</v>
      </c>
      <c r="H96" s="499" t="s">
        <v>67</v>
      </c>
      <c r="I96" s="500"/>
      <c r="J96" s="501">
        <f>ROUNDUP(SUM(J79:J95)*1.17,-1)</f>
        <v>3190</v>
      </c>
      <c r="K96"/>
      <c r="L96"/>
      <c r="M96" s="490"/>
    </row>
    <row r="97" spans="1:16" s="491" customFormat="1" ht="9" customHeight="1" x14ac:dyDescent="0.25">
      <c r="A97" s="492"/>
      <c r="B97" s="502"/>
      <c r="C97" s="418"/>
      <c r="D97" s="503"/>
      <c r="E97" s="502"/>
      <c r="F97" s="418"/>
      <c r="G97" s="503"/>
      <c r="H97" s="502"/>
      <c r="I97" s="418"/>
      <c r="J97" s="503"/>
      <c r="K97"/>
      <c r="L97"/>
      <c r="M97" s="490"/>
    </row>
    <row r="98" spans="1:16" s="491" customFormat="1" ht="75" x14ac:dyDescent="0.25">
      <c r="A98" s="492"/>
      <c r="B98" s="504"/>
      <c r="C98" s="418" t="s">
        <v>769</v>
      </c>
      <c r="D98" s="486">
        <v>1315</v>
      </c>
      <c r="E98" s="504"/>
      <c r="F98" s="418" t="s">
        <v>803</v>
      </c>
      <c r="G98" s="496">
        <f>975*C73</f>
        <v>1075.7175</v>
      </c>
      <c r="H98" s="502"/>
      <c r="I98" s="418" t="s">
        <v>804</v>
      </c>
      <c r="J98" s="503">
        <v>810</v>
      </c>
      <c r="K98"/>
      <c r="L98"/>
      <c r="M98" s="490"/>
    </row>
    <row r="99" spans="1:16" s="491" customFormat="1" ht="46.9" customHeight="1" x14ac:dyDescent="0.25">
      <c r="A99" s="492"/>
      <c r="B99" s="504"/>
      <c r="C99" s="418" t="s">
        <v>805</v>
      </c>
      <c r="D99" s="486">
        <v>2330</v>
      </c>
      <c r="E99" s="504"/>
      <c r="F99" s="418" t="s">
        <v>806</v>
      </c>
      <c r="G99" s="496">
        <f>1725*C73</f>
        <v>1903.1924999999999</v>
      </c>
      <c r="H99" s="502"/>
      <c r="I99" s="418" t="s">
        <v>807</v>
      </c>
      <c r="J99" s="503">
        <v>1377</v>
      </c>
      <c r="K99"/>
      <c r="L99"/>
      <c r="M99" s="490"/>
    </row>
    <row r="100" spans="1:16" s="491" customFormat="1" x14ac:dyDescent="0.25">
      <c r="A100" s="492"/>
      <c r="B100" s="504"/>
      <c r="C100" s="418"/>
      <c r="D100" s="503"/>
      <c r="E100" s="504"/>
      <c r="F100" s="418"/>
      <c r="G100" s="503"/>
      <c r="H100" s="502"/>
      <c r="I100" s="418"/>
      <c r="J100" s="503"/>
      <c r="K100"/>
      <c r="L100"/>
      <c r="M100" s="490"/>
    </row>
    <row r="101" spans="1:16" s="491" customFormat="1" ht="62.45" customHeight="1" x14ac:dyDescent="0.25">
      <c r="A101" s="487" t="s">
        <v>615</v>
      </c>
      <c r="B101" s="488" t="s">
        <v>659</v>
      </c>
      <c r="C101" s="419" t="s">
        <v>627</v>
      </c>
      <c r="D101" s="489"/>
      <c r="E101" s="488" t="s">
        <v>660</v>
      </c>
      <c r="F101" s="419" t="s">
        <v>626</v>
      </c>
      <c r="G101" s="489"/>
      <c r="H101" s="488" t="s">
        <v>661</v>
      </c>
      <c r="I101" s="419" t="s">
        <v>625</v>
      </c>
      <c r="J101" s="489"/>
      <c r="K101"/>
      <c r="L101"/>
      <c r="M101" s="490"/>
    </row>
    <row r="102" spans="1:16" s="491" customFormat="1" x14ac:dyDescent="0.25">
      <c r="A102" s="492" t="s">
        <v>987</v>
      </c>
      <c r="B102" s="493" t="s">
        <v>27</v>
      </c>
      <c r="C102" s="418" t="s">
        <v>25</v>
      </c>
      <c r="D102" s="486">
        <v>0</v>
      </c>
      <c r="E102" s="493" t="s">
        <v>27</v>
      </c>
      <c r="F102" s="418" t="s">
        <v>25</v>
      </c>
      <c r="G102" s="486">
        <v>0</v>
      </c>
      <c r="H102" s="493" t="s">
        <v>27</v>
      </c>
      <c r="I102" s="418" t="s">
        <v>25</v>
      </c>
      <c r="J102" s="494">
        <v>0</v>
      </c>
      <c r="K102"/>
      <c r="L102"/>
      <c r="M102" s="490"/>
    </row>
    <row r="103" spans="1:16" s="491" customFormat="1" ht="29.45" customHeight="1" x14ac:dyDescent="0.25">
      <c r="A103" s="492" t="s">
        <v>988</v>
      </c>
      <c r="B103" s="495" t="s">
        <v>28</v>
      </c>
      <c r="C103" s="418" t="s">
        <v>796</v>
      </c>
      <c r="D103" s="486">
        <f t="shared" ref="D103:D113" si="10">D80</f>
        <v>540</v>
      </c>
      <c r="E103" s="495" t="s">
        <v>28</v>
      </c>
      <c r="F103" s="418" t="s">
        <v>797</v>
      </c>
      <c r="G103" s="486">
        <f t="shared" ref="G103:G113" si="11">G80</f>
        <v>330</v>
      </c>
      <c r="H103" s="495" t="s">
        <v>28</v>
      </c>
      <c r="I103" s="418" t="s">
        <v>798</v>
      </c>
      <c r="J103" s="497">
        <v>355</v>
      </c>
      <c r="K103"/>
      <c r="L103"/>
      <c r="M103" s="490"/>
      <c r="O103" s="553"/>
      <c r="P103" s="553"/>
    </row>
    <row r="104" spans="1:16" s="491" customFormat="1" x14ac:dyDescent="0.25">
      <c r="A104" s="492" t="s">
        <v>989</v>
      </c>
      <c r="B104" s="493" t="s">
        <v>29</v>
      </c>
      <c r="C104" s="418" t="s">
        <v>799</v>
      </c>
      <c r="D104" s="486">
        <f t="shared" si="10"/>
        <v>415</v>
      </c>
      <c r="E104" s="493" t="s">
        <v>29</v>
      </c>
      <c r="F104" s="418" t="s">
        <v>800</v>
      </c>
      <c r="G104" s="486">
        <f t="shared" si="11"/>
        <v>290</v>
      </c>
      <c r="H104" s="493" t="s">
        <v>29</v>
      </c>
      <c r="I104" s="418" t="s">
        <v>754</v>
      </c>
      <c r="J104" s="494">
        <v>330</v>
      </c>
      <c r="K104"/>
      <c r="L104"/>
      <c r="M104" s="490"/>
      <c r="O104" s="553"/>
      <c r="P104" s="553"/>
    </row>
    <row r="105" spans="1:16" s="491" customFormat="1" x14ac:dyDescent="0.25">
      <c r="A105" s="492" t="s">
        <v>990</v>
      </c>
      <c r="B105" s="493" t="s">
        <v>30</v>
      </c>
      <c r="C105" s="418" t="s">
        <v>33</v>
      </c>
      <c r="D105" s="486">
        <v>0</v>
      </c>
      <c r="E105" s="493" t="s">
        <v>30</v>
      </c>
      <c r="F105" s="418" t="s">
        <v>33</v>
      </c>
      <c r="G105" s="486">
        <v>0</v>
      </c>
      <c r="H105" s="493" t="s">
        <v>30</v>
      </c>
      <c r="I105" s="418" t="s">
        <v>33</v>
      </c>
      <c r="J105" s="494">
        <v>0</v>
      </c>
      <c r="K105"/>
      <c r="L105"/>
      <c r="M105" s="490"/>
    </row>
    <row r="106" spans="1:16" s="491" customFormat="1" x14ac:dyDescent="0.25">
      <c r="A106" s="492" t="s">
        <v>991</v>
      </c>
      <c r="B106" s="493" t="s">
        <v>31</v>
      </c>
      <c r="C106" s="418" t="s">
        <v>38</v>
      </c>
      <c r="D106" s="486">
        <v>0</v>
      </c>
      <c r="E106" s="493" t="s">
        <v>31</v>
      </c>
      <c r="F106" s="418" t="s">
        <v>38</v>
      </c>
      <c r="G106" s="486">
        <v>0</v>
      </c>
      <c r="H106" s="493" t="s">
        <v>31</v>
      </c>
      <c r="I106" s="418" t="s">
        <v>38</v>
      </c>
      <c r="J106" s="494">
        <v>0</v>
      </c>
      <c r="K106"/>
      <c r="L106"/>
      <c r="M106" s="490"/>
    </row>
    <row r="107" spans="1:16" s="491" customFormat="1" x14ac:dyDescent="0.25">
      <c r="A107" s="492" t="s">
        <v>992</v>
      </c>
      <c r="B107" s="493" t="s">
        <v>32</v>
      </c>
      <c r="C107" s="418" t="s">
        <v>40</v>
      </c>
      <c r="D107" s="486">
        <v>0</v>
      </c>
      <c r="E107" s="493" t="s">
        <v>32</v>
      </c>
      <c r="F107" s="418" t="s">
        <v>40</v>
      </c>
      <c r="G107" s="486">
        <v>0</v>
      </c>
      <c r="H107" s="493" t="s">
        <v>32</v>
      </c>
      <c r="I107" s="418" t="s">
        <v>40</v>
      </c>
      <c r="J107" s="494">
        <v>0</v>
      </c>
      <c r="K107"/>
      <c r="L107"/>
      <c r="M107" s="490"/>
    </row>
    <row r="108" spans="1:16" s="491" customFormat="1" ht="30" x14ac:dyDescent="0.25">
      <c r="A108" s="492" t="s">
        <v>993</v>
      </c>
      <c r="B108" s="493" t="s">
        <v>37</v>
      </c>
      <c r="C108" s="418" t="s">
        <v>801</v>
      </c>
      <c r="D108" s="486">
        <f>D85</f>
        <v>300</v>
      </c>
      <c r="E108" s="493" t="s">
        <v>37</v>
      </c>
      <c r="F108" s="418" t="s">
        <v>654</v>
      </c>
      <c r="G108" s="486">
        <f>G85</f>
        <v>300</v>
      </c>
      <c r="H108" s="493" t="s">
        <v>37</v>
      </c>
      <c r="I108" s="418" t="s">
        <v>755</v>
      </c>
      <c r="J108" s="494">
        <f>J85</f>
        <v>300</v>
      </c>
      <c r="K108"/>
      <c r="L108"/>
      <c r="M108" s="490"/>
    </row>
    <row r="109" spans="1:16" s="491" customFormat="1" ht="45" x14ac:dyDescent="0.25">
      <c r="A109" s="492"/>
      <c r="B109" s="493" t="s">
        <v>42</v>
      </c>
      <c r="C109" s="418" t="s">
        <v>802</v>
      </c>
      <c r="D109" s="486">
        <f t="shared" si="10"/>
        <v>0</v>
      </c>
      <c r="E109" s="493" t="s">
        <v>42</v>
      </c>
      <c r="F109" s="418" t="s">
        <v>802</v>
      </c>
      <c r="G109" s="486">
        <f t="shared" si="11"/>
        <v>0</v>
      </c>
      <c r="H109" s="493" t="s">
        <v>42</v>
      </c>
      <c r="I109" s="418" t="s">
        <v>756</v>
      </c>
      <c r="J109" s="498">
        <v>0</v>
      </c>
      <c r="K109"/>
      <c r="L109"/>
      <c r="M109" s="490"/>
    </row>
    <row r="110" spans="1:16" s="491" customFormat="1" x14ac:dyDescent="0.25">
      <c r="A110" s="492"/>
      <c r="B110" s="493" t="s">
        <v>46</v>
      </c>
      <c r="C110" s="418" t="s">
        <v>34</v>
      </c>
      <c r="D110" s="486">
        <v>0</v>
      </c>
      <c r="E110" s="493" t="s">
        <v>46</v>
      </c>
      <c r="F110" s="418" t="s">
        <v>34</v>
      </c>
      <c r="G110" s="486">
        <v>0</v>
      </c>
      <c r="H110" s="493" t="s">
        <v>46</v>
      </c>
      <c r="I110" s="418" t="s">
        <v>34</v>
      </c>
      <c r="J110" s="494">
        <v>0</v>
      </c>
      <c r="K110"/>
      <c r="L110"/>
      <c r="M110" s="490"/>
    </row>
    <row r="111" spans="1:16" s="491" customFormat="1" x14ac:dyDescent="0.25">
      <c r="A111" s="492"/>
      <c r="B111" s="493" t="s">
        <v>650</v>
      </c>
      <c r="C111" s="491" t="s">
        <v>757</v>
      </c>
      <c r="D111" s="486">
        <v>0</v>
      </c>
      <c r="E111" s="493" t="s">
        <v>650</v>
      </c>
      <c r="F111" s="491" t="s">
        <v>757</v>
      </c>
      <c r="G111" s="486">
        <v>0</v>
      </c>
      <c r="H111" s="493"/>
      <c r="I111" s="491" t="s">
        <v>757</v>
      </c>
      <c r="J111" s="494">
        <v>0</v>
      </c>
      <c r="K111"/>
      <c r="L111"/>
      <c r="M111" s="490"/>
    </row>
    <row r="112" spans="1:16" s="491" customFormat="1" x14ac:dyDescent="0.25">
      <c r="A112" s="492"/>
      <c r="B112" s="493" t="s">
        <v>651</v>
      </c>
      <c r="C112" s="418" t="s">
        <v>758</v>
      </c>
      <c r="D112" s="486">
        <f t="shared" si="10"/>
        <v>355</v>
      </c>
      <c r="E112" s="493" t="s">
        <v>651</v>
      </c>
      <c r="F112" s="418" t="s">
        <v>759</v>
      </c>
      <c r="G112" s="486">
        <f t="shared" si="11"/>
        <v>330</v>
      </c>
      <c r="H112" s="493"/>
      <c r="I112" s="418" t="s">
        <v>760</v>
      </c>
      <c r="J112" s="494">
        <v>260</v>
      </c>
      <c r="K112"/>
      <c r="L112"/>
      <c r="M112" s="490"/>
    </row>
    <row r="113" spans="1:13" s="491" customFormat="1" x14ac:dyDescent="0.25">
      <c r="A113" s="492"/>
      <c r="B113" s="493" t="s">
        <v>652</v>
      </c>
      <c r="C113" s="418" t="s">
        <v>761</v>
      </c>
      <c r="D113" s="486">
        <f t="shared" si="10"/>
        <v>330</v>
      </c>
      <c r="E113" s="493" t="s">
        <v>652</v>
      </c>
      <c r="F113" s="418" t="s">
        <v>762</v>
      </c>
      <c r="G113" s="486">
        <f t="shared" si="11"/>
        <v>290</v>
      </c>
      <c r="H113" s="493"/>
      <c r="I113" s="418" t="s">
        <v>763</v>
      </c>
      <c r="J113" s="494">
        <v>165</v>
      </c>
      <c r="K113"/>
      <c r="L113"/>
      <c r="M113" s="490"/>
    </row>
    <row r="114" spans="1:13" s="491" customFormat="1" x14ac:dyDescent="0.25">
      <c r="A114" s="492"/>
      <c r="B114" s="493" t="s">
        <v>653</v>
      </c>
      <c r="C114" s="418" t="s">
        <v>764</v>
      </c>
      <c r="D114" s="486">
        <v>0</v>
      </c>
      <c r="E114" s="493" t="s">
        <v>653</v>
      </c>
      <c r="F114" s="418" t="s">
        <v>764</v>
      </c>
      <c r="G114" s="486">
        <v>0</v>
      </c>
      <c r="H114" s="493"/>
      <c r="I114" s="418" t="s">
        <v>764</v>
      </c>
      <c r="J114" s="494">
        <v>0</v>
      </c>
      <c r="K114"/>
      <c r="L114"/>
      <c r="M114" s="490"/>
    </row>
    <row r="115" spans="1:13" s="491" customFormat="1" ht="30" x14ac:dyDescent="0.25">
      <c r="A115" s="492"/>
      <c r="B115" s="493" t="s">
        <v>765</v>
      </c>
      <c r="C115" s="418" t="s">
        <v>766</v>
      </c>
      <c r="D115" s="486">
        <v>0</v>
      </c>
      <c r="E115" s="493" t="s">
        <v>765</v>
      </c>
      <c r="F115" s="418" t="s">
        <v>766</v>
      </c>
      <c r="G115" s="486">
        <v>0</v>
      </c>
      <c r="H115" s="493"/>
      <c r="I115" s="418" t="s">
        <v>766</v>
      </c>
      <c r="J115" s="494">
        <v>0</v>
      </c>
      <c r="K115"/>
      <c r="L115"/>
      <c r="M115" s="490"/>
    </row>
    <row r="116" spans="1:13" s="491" customFormat="1" x14ac:dyDescent="0.25">
      <c r="A116" s="492"/>
      <c r="B116" s="493" t="s">
        <v>767</v>
      </c>
      <c r="C116" s="418" t="s">
        <v>768</v>
      </c>
      <c r="D116" s="486">
        <v>0</v>
      </c>
      <c r="E116" s="493" t="s">
        <v>767</v>
      </c>
      <c r="F116" s="418" t="s">
        <v>768</v>
      </c>
      <c r="G116" s="486">
        <v>0</v>
      </c>
      <c r="H116" s="493"/>
      <c r="I116" s="418" t="s">
        <v>768</v>
      </c>
      <c r="J116" s="494">
        <v>0</v>
      </c>
      <c r="K116"/>
      <c r="L116"/>
      <c r="M116" s="490"/>
    </row>
    <row r="117" spans="1:13" s="491" customFormat="1" x14ac:dyDescent="0.25">
      <c r="A117" s="492"/>
      <c r="B117" s="493"/>
      <c r="C117" s="418"/>
      <c r="D117" s="486"/>
      <c r="E117" s="493"/>
      <c r="F117" s="418"/>
      <c r="G117" s="486"/>
      <c r="H117" s="493"/>
      <c r="I117" s="418"/>
      <c r="J117" s="494"/>
      <c r="K117"/>
      <c r="L117"/>
      <c r="M117" s="490"/>
    </row>
    <row r="118" spans="1:13" s="491" customFormat="1" x14ac:dyDescent="0.25">
      <c r="A118" s="492"/>
      <c r="B118" s="493"/>
      <c r="C118" s="418"/>
      <c r="D118" s="486"/>
      <c r="E118" s="493"/>
      <c r="F118" s="418"/>
      <c r="G118" s="486"/>
      <c r="H118" s="493"/>
      <c r="I118" s="418"/>
      <c r="J118" s="494"/>
      <c r="K118"/>
      <c r="L118"/>
      <c r="M118" s="490"/>
    </row>
    <row r="119" spans="1:13" s="491" customFormat="1" x14ac:dyDescent="0.25">
      <c r="A119" s="492"/>
      <c r="B119" s="499" t="s">
        <v>1000</v>
      </c>
      <c r="C119" s="500" t="s">
        <v>35</v>
      </c>
      <c r="D119" s="501">
        <f>ROUNDUP(SUM(D102:D118),-1)</f>
        <v>1940</v>
      </c>
      <c r="E119" s="499" t="s">
        <v>1000</v>
      </c>
      <c r="F119" s="500" t="s">
        <v>35</v>
      </c>
      <c r="G119" s="501">
        <f>ROUNDUP(SUM(G102:G118),-1)</f>
        <v>1540</v>
      </c>
      <c r="H119" s="499" t="s">
        <v>1000</v>
      </c>
      <c r="I119" s="500"/>
      <c r="J119" s="501">
        <f>ROUNDUP(SUM(J102:J118),-1)</f>
        <v>1410</v>
      </c>
      <c r="K119"/>
      <c r="L119"/>
      <c r="M119" s="490"/>
    </row>
    <row r="120" spans="1:13" s="491" customFormat="1" ht="9" customHeight="1" x14ac:dyDescent="0.25">
      <c r="A120" s="492"/>
      <c r="B120" s="502"/>
      <c r="C120" s="418"/>
      <c r="D120" s="503"/>
      <c r="E120" s="502"/>
      <c r="F120" s="418"/>
      <c r="G120" s="503"/>
      <c r="H120" s="502"/>
      <c r="I120" s="418"/>
      <c r="J120" s="503"/>
      <c r="K120"/>
      <c r="L120"/>
      <c r="M120" s="490"/>
    </row>
    <row r="121" spans="1:13" s="491" customFormat="1" ht="75" x14ac:dyDescent="0.25">
      <c r="A121" s="492"/>
      <c r="B121" s="504"/>
      <c r="C121" s="418" t="s">
        <v>769</v>
      </c>
      <c r="D121" s="615">
        <v>0</v>
      </c>
      <c r="E121" s="504"/>
      <c r="F121" s="418" t="s">
        <v>803</v>
      </c>
      <c r="G121" s="615">
        <v>0</v>
      </c>
      <c r="H121" s="502"/>
      <c r="I121" s="418" t="s">
        <v>804</v>
      </c>
      <c r="J121" s="615">
        <v>0</v>
      </c>
      <c r="K121"/>
      <c r="L121"/>
      <c r="M121" s="490"/>
    </row>
    <row r="122" spans="1:13" s="491" customFormat="1" ht="46.9" customHeight="1" x14ac:dyDescent="0.25">
      <c r="A122" s="492"/>
      <c r="B122" s="504"/>
      <c r="C122" s="418" t="s">
        <v>805</v>
      </c>
      <c r="D122" s="615">
        <v>0</v>
      </c>
      <c r="E122" s="504"/>
      <c r="F122" s="418" t="s">
        <v>806</v>
      </c>
      <c r="G122" s="615">
        <v>0</v>
      </c>
      <c r="H122" s="502"/>
      <c r="I122" s="418" t="s">
        <v>807</v>
      </c>
      <c r="J122" s="615">
        <v>0</v>
      </c>
      <c r="K122"/>
      <c r="L122"/>
      <c r="M122" s="490"/>
    </row>
    <row r="123" spans="1:13" s="491" customFormat="1" x14ac:dyDescent="0.25">
      <c r="A123" s="492"/>
      <c r="B123" s="504"/>
      <c r="C123" s="418"/>
      <c r="D123" s="503"/>
      <c r="E123" s="504"/>
      <c r="F123" s="418"/>
      <c r="G123" s="503"/>
      <c r="H123" s="502"/>
      <c r="I123" s="418"/>
      <c r="J123" s="503"/>
      <c r="K123"/>
      <c r="L123"/>
      <c r="M123" s="490"/>
    </row>
    <row r="124" spans="1:13" s="491" customFormat="1" ht="119.45" customHeight="1" x14ac:dyDescent="0.25">
      <c r="A124" s="487" t="s">
        <v>616</v>
      </c>
      <c r="B124" s="488" t="s">
        <v>1008</v>
      </c>
      <c r="C124" s="419"/>
      <c r="D124" s="489"/>
      <c r="E124" s="488" t="s">
        <v>662</v>
      </c>
      <c r="F124" s="419" t="s">
        <v>628</v>
      </c>
      <c r="G124" s="489"/>
      <c r="H124" s="488" t="s">
        <v>1004</v>
      </c>
      <c r="I124" s="419" t="s">
        <v>1005</v>
      </c>
      <c r="J124" s="489"/>
      <c r="K124"/>
      <c r="L124"/>
      <c r="M124" s="490"/>
    </row>
    <row r="125" spans="1:13" s="491" customFormat="1" ht="45" x14ac:dyDescent="0.25">
      <c r="A125" s="492"/>
      <c r="B125" s="493"/>
      <c r="C125" s="418"/>
      <c r="D125" s="496"/>
      <c r="E125" s="493" t="s">
        <v>27</v>
      </c>
      <c r="F125" s="418" t="s">
        <v>62</v>
      </c>
      <c r="G125" s="496">
        <f>200*C73</f>
        <v>220.66</v>
      </c>
      <c r="H125" s="493" t="s">
        <v>27</v>
      </c>
      <c r="I125" s="418" t="s">
        <v>62</v>
      </c>
      <c r="J125" s="496">
        <f>G125</f>
        <v>220.66</v>
      </c>
      <c r="K125"/>
      <c r="L125"/>
      <c r="M125" s="490"/>
    </row>
    <row r="126" spans="1:13" s="491" customFormat="1" ht="30" x14ac:dyDescent="0.25">
      <c r="A126" s="492"/>
      <c r="B126" s="493"/>
      <c r="C126" s="418"/>
      <c r="D126" s="496"/>
      <c r="E126" s="493" t="s">
        <v>28</v>
      </c>
      <c r="F126" s="418" t="s">
        <v>63</v>
      </c>
      <c r="G126" s="496">
        <f>90*C73</f>
        <v>99.296999999999997</v>
      </c>
      <c r="H126" s="493" t="s">
        <v>28</v>
      </c>
      <c r="I126" s="418" t="s">
        <v>63</v>
      </c>
      <c r="J126" s="496">
        <f>G126</f>
        <v>99.296999999999997</v>
      </c>
      <c r="K126"/>
      <c r="L126"/>
      <c r="M126" s="490"/>
    </row>
    <row r="127" spans="1:13" s="491" customFormat="1" ht="60" x14ac:dyDescent="0.25">
      <c r="A127" s="492"/>
      <c r="B127" s="493"/>
      <c r="C127" s="418"/>
      <c r="D127" s="496"/>
      <c r="E127" s="493" t="s">
        <v>29</v>
      </c>
      <c r="F127" s="418" t="s">
        <v>812</v>
      </c>
      <c r="G127" s="496">
        <v>680</v>
      </c>
      <c r="H127" s="493" t="s">
        <v>29</v>
      </c>
      <c r="I127" s="418" t="s">
        <v>1007</v>
      </c>
      <c r="J127" s="496">
        <f>G127*0.8</f>
        <v>544</v>
      </c>
      <c r="K127"/>
      <c r="L127"/>
      <c r="M127" s="490"/>
    </row>
    <row r="128" spans="1:13" s="491" customFormat="1" ht="30" x14ac:dyDescent="0.25">
      <c r="A128" s="492"/>
      <c r="B128" s="493"/>
      <c r="C128" s="418"/>
      <c r="D128" s="496"/>
      <c r="E128" s="493" t="s">
        <v>30</v>
      </c>
      <c r="F128" s="418" t="s">
        <v>813</v>
      </c>
      <c r="G128" s="496">
        <v>455</v>
      </c>
      <c r="H128" s="493" t="s">
        <v>30</v>
      </c>
      <c r="I128" s="418" t="s">
        <v>1006</v>
      </c>
      <c r="J128" s="496">
        <f>G128*0.8</f>
        <v>364</v>
      </c>
      <c r="K128"/>
      <c r="L128"/>
      <c r="M128" s="490"/>
    </row>
    <row r="129" spans="1:13" s="491" customFormat="1" x14ac:dyDescent="0.25">
      <c r="A129" s="492"/>
      <c r="B129" s="493"/>
      <c r="C129" s="418"/>
      <c r="D129" s="496"/>
      <c r="E129" s="493" t="s">
        <v>31</v>
      </c>
      <c r="F129" s="418" t="s">
        <v>43</v>
      </c>
      <c r="G129" s="496">
        <f>550*C73</f>
        <v>606.81499999999994</v>
      </c>
      <c r="H129" s="493" t="s">
        <v>31</v>
      </c>
      <c r="I129" s="418" t="s">
        <v>43</v>
      </c>
      <c r="J129" s="496">
        <f>G129</f>
        <v>606.81499999999994</v>
      </c>
      <c r="K129"/>
      <c r="L129"/>
      <c r="M129" s="490"/>
    </row>
    <row r="130" spans="1:13" s="491" customFormat="1" x14ac:dyDescent="0.25">
      <c r="A130" s="492"/>
      <c r="B130" s="493"/>
      <c r="C130" s="418"/>
      <c r="D130" s="496"/>
      <c r="E130" s="493" t="s">
        <v>32</v>
      </c>
      <c r="F130" s="418" t="s">
        <v>44</v>
      </c>
      <c r="G130" s="496">
        <f>220*C73</f>
        <v>242.726</v>
      </c>
      <c r="H130" s="493" t="s">
        <v>32</v>
      </c>
      <c r="I130" s="418" t="s">
        <v>44</v>
      </c>
      <c r="J130" s="496">
        <f t="shared" ref="J130:J133" si="12">G130</f>
        <v>242.726</v>
      </c>
      <c r="K130"/>
      <c r="L130"/>
      <c r="M130" s="490"/>
    </row>
    <row r="131" spans="1:13" s="491" customFormat="1" x14ac:dyDescent="0.25">
      <c r="A131" s="492"/>
      <c r="B131" s="493"/>
      <c r="C131" s="418"/>
      <c r="D131" s="496"/>
      <c r="E131" s="493" t="s">
        <v>37</v>
      </c>
      <c r="F131" s="418" t="s">
        <v>45</v>
      </c>
      <c r="G131" s="496">
        <f>260*C73</f>
        <v>286.858</v>
      </c>
      <c r="H131" s="493" t="s">
        <v>37</v>
      </c>
      <c r="I131" s="418" t="s">
        <v>45</v>
      </c>
      <c r="J131" s="496">
        <f t="shared" si="12"/>
        <v>286.858</v>
      </c>
      <c r="K131"/>
      <c r="L131"/>
      <c r="M131" s="490"/>
    </row>
    <row r="132" spans="1:13" s="491" customFormat="1" x14ac:dyDescent="0.25">
      <c r="A132" s="492"/>
      <c r="B132" s="493"/>
      <c r="C132" s="418"/>
      <c r="D132" s="496"/>
      <c r="E132" s="493" t="s">
        <v>42</v>
      </c>
      <c r="F132" s="418" t="s">
        <v>75</v>
      </c>
      <c r="G132" s="496">
        <f>400*C73</f>
        <v>441.32</v>
      </c>
      <c r="H132" s="493" t="s">
        <v>42</v>
      </c>
      <c r="I132" s="418" t="s">
        <v>75</v>
      </c>
      <c r="J132" s="496">
        <f t="shared" si="12"/>
        <v>441.32</v>
      </c>
      <c r="K132"/>
      <c r="L132"/>
      <c r="M132" s="490"/>
    </row>
    <row r="133" spans="1:13" s="491" customFormat="1" ht="30" x14ac:dyDescent="0.25">
      <c r="A133" s="492"/>
      <c r="B133" s="493"/>
      <c r="C133" s="418"/>
      <c r="D133" s="496"/>
      <c r="E133" s="493" t="s">
        <v>46</v>
      </c>
      <c r="F133" s="418" t="s">
        <v>64</v>
      </c>
      <c r="G133" s="496">
        <f>300*C73</f>
        <v>330.99</v>
      </c>
      <c r="H133" s="493" t="s">
        <v>46</v>
      </c>
      <c r="I133" s="418" t="s">
        <v>64</v>
      </c>
      <c r="J133" s="496">
        <f t="shared" si="12"/>
        <v>330.99</v>
      </c>
      <c r="K133"/>
      <c r="L133"/>
      <c r="M133" s="490"/>
    </row>
    <row r="134" spans="1:13" s="491" customFormat="1" x14ac:dyDescent="0.25">
      <c r="A134" s="492"/>
      <c r="B134" s="499"/>
      <c r="C134" s="500"/>
      <c r="D134" s="501"/>
      <c r="E134" s="499" t="s">
        <v>67</v>
      </c>
      <c r="F134" s="500" t="s">
        <v>35</v>
      </c>
      <c r="G134" s="501">
        <f>ROUNDUP(SUM(G125:G133)*1.17,-1)</f>
        <v>3940</v>
      </c>
      <c r="H134" s="499" t="s">
        <v>67</v>
      </c>
      <c r="I134" s="500" t="s">
        <v>35</v>
      </c>
      <c r="J134" s="501">
        <f>ROUNDUP(SUM(J125:J133)*1.17,-1)</f>
        <v>3670</v>
      </c>
      <c r="K134"/>
      <c r="L134"/>
      <c r="M134" s="490"/>
    </row>
    <row r="135" spans="1:13" s="491" customFormat="1" x14ac:dyDescent="0.25">
      <c r="A135" s="490"/>
      <c r="B135" s="490"/>
      <c r="C135" s="490"/>
      <c r="D135" s="490"/>
      <c r="E135" s="490"/>
      <c r="F135" s="490"/>
      <c r="G135" s="490"/>
      <c r="H135" s="490"/>
      <c r="I135" s="490"/>
      <c r="J135" s="490"/>
      <c r="K135"/>
      <c r="L135"/>
      <c r="M135" s="490"/>
    </row>
    <row r="136" spans="1:13" s="491" customFormat="1" ht="119.45" customHeight="1" x14ac:dyDescent="0.25">
      <c r="A136" s="487" t="s">
        <v>1003</v>
      </c>
      <c r="B136" s="488" t="s">
        <v>658</v>
      </c>
      <c r="C136" s="419" t="s">
        <v>657</v>
      </c>
      <c r="D136" s="489"/>
      <c r="E136" s="488" t="s">
        <v>1009</v>
      </c>
      <c r="F136" s="419" t="s">
        <v>628</v>
      </c>
      <c r="G136" s="489"/>
      <c r="H136" s="488" t="s">
        <v>647</v>
      </c>
      <c r="I136" s="419" t="s">
        <v>656</v>
      </c>
      <c r="J136" s="489"/>
      <c r="K136"/>
      <c r="L136"/>
      <c r="M136" s="490"/>
    </row>
    <row r="137" spans="1:13" s="491" customFormat="1" ht="30" x14ac:dyDescent="0.25">
      <c r="A137" s="492"/>
      <c r="B137" s="493" t="s">
        <v>27</v>
      </c>
      <c r="C137" s="418" t="s">
        <v>808</v>
      </c>
      <c r="D137" s="496">
        <v>400</v>
      </c>
      <c r="E137" s="493" t="s">
        <v>27</v>
      </c>
      <c r="F137" s="418" t="s">
        <v>36</v>
      </c>
      <c r="G137" s="496">
        <f>175*C73</f>
        <v>193.07749999999999</v>
      </c>
      <c r="H137" s="493" t="s">
        <v>27</v>
      </c>
      <c r="I137" s="418" t="s">
        <v>41</v>
      </c>
      <c r="J137" s="496">
        <f>130*C73</f>
        <v>143.429</v>
      </c>
      <c r="K137"/>
      <c r="L137"/>
      <c r="M137" s="490"/>
    </row>
    <row r="138" spans="1:13" s="491" customFormat="1" ht="45" x14ac:dyDescent="0.25">
      <c r="A138" s="492"/>
      <c r="B138" s="493" t="s">
        <v>28</v>
      </c>
      <c r="C138" s="418" t="s">
        <v>809</v>
      </c>
      <c r="D138" s="496">
        <v>140</v>
      </c>
      <c r="E138" s="493" t="s">
        <v>28</v>
      </c>
      <c r="F138" s="418" t="s">
        <v>810</v>
      </c>
      <c r="G138" s="496">
        <v>260</v>
      </c>
      <c r="H138" s="493" t="s">
        <v>28</v>
      </c>
      <c r="I138" s="418" t="s">
        <v>810</v>
      </c>
      <c r="J138" s="496">
        <v>260</v>
      </c>
      <c r="K138"/>
      <c r="L138"/>
      <c r="M138" s="490"/>
    </row>
    <row r="139" spans="1:13" s="491" customFormat="1" ht="45" x14ac:dyDescent="0.25">
      <c r="A139" s="492"/>
      <c r="B139" s="493" t="s">
        <v>29</v>
      </c>
      <c r="C139" s="418" t="s">
        <v>811</v>
      </c>
      <c r="D139" s="496">
        <v>470</v>
      </c>
      <c r="E139" s="493" t="s">
        <v>29</v>
      </c>
      <c r="F139" s="418" t="s">
        <v>47</v>
      </c>
      <c r="G139" s="496">
        <f>60*C73</f>
        <v>66.197999999999993</v>
      </c>
      <c r="H139" s="493" t="s">
        <v>29</v>
      </c>
      <c r="I139" s="418" t="s">
        <v>47</v>
      </c>
      <c r="J139" s="496">
        <f>60*C73</f>
        <v>66.197999999999993</v>
      </c>
      <c r="K139"/>
      <c r="L139"/>
      <c r="M139" s="490"/>
    </row>
    <row r="140" spans="1:13" s="491" customFormat="1" x14ac:dyDescent="0.25">
      <c r="A140" s="492"/>
      <c r="B140" s="493" t="s">
        <v>30</v>
      </c>
      <c r="C140" s="418" t="s">
        <v>47</v>
      </c>
      <c r="D140" s="496">
        <f>60*C73</f>
        <v>66.197999999999993</v>
      </c>
      <c r="E140" s="493"/>
      <c r="F140" s="418"/>
      <c r="G140" s="496"/>
      <c r="H140" s="493"/>
      <c r="I140" s="418"/>
      <c r="J140" s="486"/>
      <c r="K140"/>
      <c r="L140"/>
      <c r="M140" s="490"/>
    </row>
    <row r="141" spans="1:13" s="491" customFormat="1" x14ac:dyDescent="0.25">
      <c r="A141" s="492"/>
      <c r="B141" s="493"/>
      <c r="C141" s="418"/>
      <c r="D141" s="496"/>
      <c r="E141" s="493"/>
      <c r="F141" s="418"/>
      <c r="G141" s="496"/>
      <c r="H141" s="493"/>
      <c r="I141" s="418"/>
      <c r="J141" s="486"/>
      <c r="K141"/>
      <c r="L141"/>
      <c r="M141" s="490"/>
    </row>
    <row r="142" spans="1:13" s="491" customFormat="1" x14ac:dyDescent="0.25">
      <c r="A142" s="492"/>
      <c r="B142" s="499" t="s">
        <v>67</v>
      </c>
      <c r="C142" s="500" t="s">
        <v>35</v>
      </c>
      <c r="D142" s="501">
        <f>ROUNDUP(SUM(D137:D141)*1.17,-1)</f>
        <v>1260</v>
      </c>
      <c r="E142" s="499" t="s">
        <v>67</v>
      </c>
      <c r="F142" s="500" t="s">
        <v>35</v>
      </c>
      <c r="G142" s="501">
        <f>ROUNDUP(SUM(G137:G141)*1.17,-1)</f>
        <v>610</v>
      </c>
      <c r="H142" s="499" t="s">
        <v>67</v>
      </c>
      <c r="I142" s="500" t="s">
        <v>35</v>
      </c>
      <c r="J142" s="501">
        <f>ROUNDUP(SUM(J137:J141)*1.17,-1)</f>
        <v>550</v>
      </c>
      <c r="K142"/>
      <c r="L142"/>
      <c r="M142" s="490"/>
    </row>
    <row r="143" spans="1:13" s="491" customFormat="1" x14ac:dyDescent="0.25">
      <c r="A143" s="490"/>
      <c r="B143" s="490"/>
      <c r="C143" s="490"/>
      <c r="D143" s="490"/>
      <c r="E143" s="490"/>
      <c r="F143" s="490"/>
      <c r="G143" s="490"/>
      <c r="H143" s="490"/>
      <c r="I143" s="490"/>
      <c r="J143" s="490"/>
      <c r="K143"/>
      <c r="L143"/>
      <c r="M143" s="490"/>
    </row>
    <row r="144" spans="1:13" s="491" customFormat="1" ht="102" customHeight="1" x14ac:dyDescent="0.25">
      <c r="A144" s="487" t="s">
        <v>617</v>
      </c>
      <c r="B144" s="488" t="s">
        <v>666</v>
      </c>
      <c r="C144" s="419" t="s">
        <v>640</v>
      </c>
      <c r="D144" s="505"/>
      <c r="E144" s="488" t="s">
        <v>336</v>
      </c>
      <c r="F144" s="419" t="s">
        <v>638</v>
      </c>
      <c r="G144" s="505"/>
      <c r="H144" s="488" t="s">
        <v>641</v>
      </c>
      <c r="I144" s="419" t="s">
        <v>639</v>
      </c>
      <c r="J144" s="505"/>
      <c r="K144"/>
      <c r="L144"/>
      <c r="M144" s="490"/>
    </row>
    <row r="145" spans="1:13" s="491" customFormat="1" ht="30" x14ac:dyDescent="0.25">
      <c r="A145" s="492"/>
      <c r="B145" s="493" t="s">
        <v>27</v>
      </c>
      <c r="C145" s="418" t="s">
        <v>770</v>
      </c>
      <c r="D145" s="506">
        <v>115</v>
      </c>
      <c r="E145" s="493" t="s">
        <v>27</v>
      </c>
      <c r="F145" s="418" t="s">
        <v>51</v>
      </c>
      <c r="G145" s="506">
        <f>540*C73</f>
        <v>595.78199999999993</v>
      </c>
      <c r="H145" s="418"/>
      <c r="I145" s="418" t="s">
        <v>771</v>
      </c>
      <c r="J145" s="507">
        <v>660</v>
      </c>
      <c r="K145"/>
      <c r="L145"/>
      <c r="M145" s="490"/>
    </row>
    <row r="146" spans="1:13" s="491" customFormat="1" x14ac:dyDescent="0.25">
      <c r="A146" s="492"/>
      <c r="B146" s="493" t="s">
        <v>28</v>
      </c>
      <c r="C146" s="418" t="s">
        <v>663</v>
      </c>
      <c r="D146" s="506">
        <v>400</v>
      </c>
      <c r="E146" s="493" t="s">
        <v>28</v>
      </c>
      <c r="F146" s="418" t="s">
        <v>48</v>
      </c>
      <c r="G146" s="506">
        <f>50*C73</f>
        <v>55.164999999999999</v>
      </c>
      <c r="H146" s="418"/>
      <c r="I146" s="418" t="s">
        <v>772</v>
      </c>
      <c r="J146" s="507">
        <v>100</v>
      </c>
      <c r="K146"/>
      <c r="L146"/>
      <c r="M146" s="490"/>
    </row>
    <row r="147" spans="1:13" s="491" customFormat="1" x14ac:dyDescent="0.25">
      <c r="A147" s="492"/>
      <c r="B147" s="493" t="s">
        <v>29</v>
      </c>
      <c r="C147" s="418" t="s">
        <v>773</v>
      </c>
      <c r="D147" s="506">
        <v>270</v>
      </c>
      <c r="E147" s="493" t="s">
        <v>29</v>
      </c>
      <c r="F147" s="418" t="s">
        <v>53</v>
      </c>
      <c r="G147" s="506">
        <f>130*C73</f>
        <v>143.429</v>
      </c>
      <c r="H147" s="418"/>
      <c r="I147" s="418" t="s">
        <v>53</v>
      </c>
      <c r="J147" s="507">
        <v>140</v>
      </c>
      <c r="K147"/>
      <c r="L147"/>
      <c r="M147" s="490"/>
    </row>
    <row r="148" spans="1:13" s="491" customFormat="1" ht="30" x14ac:dyDescent="0.25">
      <c r="A148" s="492"/>
      <c r="B148" s="493" t="s">
        <v>30</v>
      </c>
      <c r="C148" s="491" t="s">
        <v>664</v>
      </c>
      <c r="D148" s="506">
        <v>50</v>
      </c>
      <c r="E148" s="493" t="s">
        <v>30</v>
      </c>
      <c r="F148" s="418" t="s">
        <v>814</v>
      </c>
      <c r="G148" s="506">
        <v>350</v>
      </c>
      <c r="H148" s="418"/>
      <c r="I148" s="418" t="s">
        <v>774</v>
      </c>
      <c r="J148" s="507">
        <v>250</v>
      </c>
      <c r="K148"/>
      <c r="L148"/>
      <c r="M148" s="490"/>
    </row>
    <row r="149" spans="1:13" s="491" customFormat="1" ht="30" x14ac:dyDescent="0.25">
      <c r="A149" s="492"/>
      <c r="B149" s="493" t="s">
        <v>31</v>
      </c>
      <c r="C149" s="418" t="s">
        <v>775</v>
      </c>
      <c r="D149" s="506">
        <v>350</v>
      </c>
      <c r="E149" s="493" t="s">
        <v>31</v>
      </c>
      <c r="F149" s="418" t="s">
        <v>54</v>
      </c>
      <c r="G149" s="506">
        <f>200*C73</f>
        <v>220.66</v>
      </c>
      <c r="H149" s="418"/>
      <c r="I149" s="418" t="s">
        <v>54</v>
      </c>
      <c r="J149" s="507">
        <v>216</v>
      </c>
      <c r="K149"/>
      <c r="L149"/>
      <c r="M149" s="490"/>
    </row>
    <row r="150" spans="1:13" s="491" customFormat="1" ht="45" x14ac:dyDescent="0.25">
      <c r="A150" s="492"/>
      <c r="B150" s="493" t="s">
        <v>32</v>
      </c>
      <c r="C150" s="418" t="s">
        <v>665</v>
      </c>
      <c r="D150" s="506">
        <v>200</v>
      </c>
      <c r="E150" s="493" t="s">
        <v>32</v>
      </c>
      <c r="F150" s="418" t="s">
        <v>815</v>
      </c>
      <c r="G150" s="506">
        <v>870</v>
      </c>
      <c r="H150" s="418"/>
      <c r="I150" s="418" t="s">
        <v>776</v>
      </c>
      <c r="J150" s="507">
        <v>1000</v>
      </c>
      <c r="K150"/>
      <c r="L150"/>
      <c r="M150" s="490"/>
    </row>
    <row r="151" spans="1:13" s="491" customFormat="1" x14ac:dyDescent="0.25">
      <c r="A151" s="492"/>
      <c r="B151" s="493"/>
      <c r="C151" s="418"/>
      <c r="D151" s="506"/>
      <c r="E151" s="493" t="s">
        <v>37</v>
      </c>
      <c r="F151" s="418" t="s">
        <v>49</v>
      </c>
      <c r="G151" s="506">
        <f>40*C73</f>
        <v>44.131999999999998</v>
      </c>
      <c r="H151" s="418"/>
      <c r="I151" s="418" t="s">
        <v>49</v>
      </c>
      <c r="J151" s="507">
        <v>43</v>
      </c>
      <c r="K151"/>
      <c r="L151"/>
      <c r="M151" s="490"/>
    </row>
    <row r="152" spans="1:13" s="491" customFormat="1" x14ac:dyDescent="0.25">
      <c r="A152" s="492"/>
      <c r="B152" s="493"/>
      <c r="C152" s="418"/>
      <c r="D152" s="506"/>
      <c r="E152" s="493" t="s">
        <v>42</v>
      </c>
      <c r="F152" s="418" t="s">
        <v>76</v>
      </c>
      <c r="G152" s="506">
        <f>800*C73</f>
        <v>882.64</v>
      </c>
      <c r="H152" s="418"/>
      <c r="I152" s="418" t="s">
        <v>777</v>
      </c>
      <c r="J152" s="507">
        <v>950</v>
      </c>
      <c r="K152"/>
      <c r="L152"/>
      <c r="M152" s="490"/>
    </row>
    <row r="153" spans="1:13" s="491" customFormat="1" x14ac:dyDescent="0.25">
      <c r="A153" s="492"/>
      <c r="B153" s="493"/>
      <c r="C153" s="418"/>
      <c r="D153" s="506"/>
      <c r="E153" s="493" t="s">
        <v>46</v>
      </c>
      <c r="F153" s="418" t="s">
        <v>52</v>
      </c>
      <c r="G153" s="506">
        <f>650*C73</f>
        <v>717.14499999999998</v>
      </c>
      <c r="H153" s="418"/>
      <c r="I153" s="418" t="s">
        <v>52</v>
      </c>
      <c r="J153" s="507">
        <v>702</v>
      </c>
      <c r="K153"/>
      <c r="L153"/>
      <c r="M153" s="490"/>
    </row>
    <row r="154" spans="1:13" s="491" customFormat="1" x14ac:dyDescent="0.25">
      <c r="A154" s="492"/>
      <c r="B154" s="499" t="s">
        <v>67</v>
      </c>
      <c r="C154" s="500" t="s">
        <v>35</v>
      </c>
      <c r="D154" s="508">
        <f>ROUNDUP(SUM(D145:D153)*1.17,-1)</f>
        <v>1630</v>
      </c>
      <c r="E154" s="499" t="s">
        <v>67</v>
      </c>
      <c r="F154" s="500" t="s">
        <v>35</v>
      </c>
      <c r="G154" s="508">
        <f>ROUNDUP(SUM(G145:G153)*1.17,-1)</f>
        <v>4540</v>
      </c>
      <c r="H154" s="499" t="s">
        <v>67</v>
      </c>
      <c r="I154" s="500" t="s">
        <v>35</v>
      </c>
      <c r="J154" s="508">
        <f>ROUNDUP(SUM(J145:J153)*1.17,-1)</f>
        <v>4760</v>
      </c>
      <c r="K154"/>
      <c r="L154"/>
      <c r="M154" s="490"/>
    </row>
    <row r="155" spans="1:13" s="491" customFormat="1" x14ac:dyDescent="0.25">
      <c r="A155" s="492"/>
      <c r="B155" s="509"/>
      <c r="C155" s="418"/>
      <c r="D155" s="503"/>
      <c r="E155" s="509"/>
      <c r="F155" s="418"/>
      <c r="G155" s="503"/>
      <c r="H155" s="502"/>
      <c r="I155" s="418"/>
      <c r="J155" s="503"/>
      <c r="K155"/>
      <c r="L155"/>
      <c r="M155" s="490"/>
    </row>
    <row r="156" spans="1:13" s="491" customFormat="1" x14ac:dyDescent="0.25">
      <c r="A156" s="492" t="s">
        <v>618</v>
      </c>
      <c r="B156" s="488" t="s">
        <v>337</v>
      </c>
      <c r="C156" s="419" t="s">
        <v>24</v>
      </c>
      <c r="D156" s="489"/>
      <c r="E156" s="488" t="s">
        <v>337</v>
      </c>
      <c r="F156" s="419" t="s">
        <v>24</v>
      </c>
      <c r="G156" s="489"/>
      <c r="H156" s="488" t="s">
        <v>338</v>
      </c>
      <c r="I156" s="419" t="s">
        <v>24</v>
      </c>
      <c r="J156" s="489"/>
      <c r="K156"/>
      <c r="L156"/>
      <c r="M156" s="490"/>
    </row>
    <row r="157" spans="1:13" s="491" customFormat="1" ht="30" x14ac:dyDescent="0.25">
      <c r="A157" s="492"/>
      <c r="B157" s="493" t="s">
        <v>27</v>
      </c>
      <c r="C157" s="418" t="s">
        <v>55</v>
      </c>
      <c r="D157" s="496">
        <f>750*C73</f>
        <v>827.47499999999991</v>
      </c>
      <c r="E157" s="493" t="s">
        <v>27</v>
      </c>
      <c r="F157" s="418" t="s">
        <v>55</v>
      </c>
      <c r="G157" s="496">
        <v>810</v>
      </c>
      <c r="H157" s="493" t="s">
        <v>27</v>
      </c>
      <c r="I157" s="418" t="s">
        <v>55</v>
      </c>
      <c r="J157" s="486">
        <v>810</v>
      </c>
      <c r="K157"/>
      <c r="L157"/>
      <c r="M157" s="490"/>
    </row>
    <row r="158" spans="1:13" s="491" customFormat="1" x14ac:dyDescent="0.25">
      <c r="A158" s="492"/>
      <c r="B158" s="493" t="s">
        <v>28</v>
      </c>
      <c r="C158" s="418" t="s">
        <v>778</v>
      </c>
      <c r="D158" s="496">
        <v>6500</v>
      </c>
      <c r="E158" s="493" t="s">
        <v>28</v>
      </c>
      <c r="F158" s="418" t="s">
        <v>778</v>
      </c>
      <c r="G158" s="496">
        <v>6500</v>
      </c>
      <c r="H158" s="493" t="s">
        <v>28</v>
      </c>
      <c r="I158" s="418" t="s">
        <v>778</v>
      </c>
      <c r="J158" s="486">
        <v>6500</v>
      </c>
      <c r="K158"/>
      <c r="L158"/>
      <c r="M158" s="490"/>
    </row>
    <row r="159" spans="1:13" s="491" customFormat="1" ht="42" customHeight="1" x14ac:dyDescent="0.25">
      <c r="A159" s="492"/>
      <c r="B159" s="493" t="s">
        <v>29</v>
      </c>
      <c r="C159" s="418" t="s">
        <v>77</v>
      </c>
      <c r="D159" s="496">
        <v>1674</v>
      </c>
      <c r="E159" s="493" t="s">
        <v>29</v>
      </c>
      <c r="F159" s="418" t="s">
        <v>77</v>
      </c>
      <c r="G159" s="486">
        <v>0</v>
      </c>
      <c r="H159" s="493" t="s">
        <v>29</v>
      </c>
      <c r="I159" s="418" t="s">
        <v>77</v>
      </c>
      <c r="J159" s="486">
        <v>0</v>
      </c>
      <c r="K159"/>
      <c r="L159"/>
      <c r="M159" s="490"/>
    </row>
    <row r="160" spans="1:13" s="491" customFormat="1" ht="45" x14ac:dyDescent="0.25">
      <c r="A160" s="492"/>
      <c r="B160" s="493" t="s">
        <v>30</v>
      </c>
      <c r="C160" s="418" t="s">
        <v>78</v>
      </c>
      <c r="D160" s="496">
        <f>2200*C73</f>
        <v>2427.2599999999998</v>
      </c>
      <c r="E160" s="493" t="s">
        <v>30</v>
      </c>
      <c r="F160" s="418" t="s">
        <v>78</v>
      </c>
      <c r="G160" s="496">
        <v>2376</v>
      </c>
      <c r="H160" s="493" t="s">
        <v>30</v>
      </c>
      <c r="I160" s="418" t="s">
        <v>78</v>
      </c>
      <c r="J160" s="486">
        <v>2376</v>
      </c>
      <c r="K160"/>
      <c r="L160"/>
      <c r="M160" s="490"/>
    </row>
    <row r="161" spans="1:16" s="491" customFormat="1" x14ac:dyDescent="0.25">
      <c r="A161" s="492"/>
      <c r="B161" s="499" t="s">
        <v>67</v>
      </c>
      <c r="C161" s="500" t="s">
        <v>35</v>
      </c>
      <c r="D161" s="501">
        <f>ROUNDUP(SUM(D157:D160)*1.17,-1)</f>
        <v>13380</v>
      </c>
      <c r="E161" s="499" t="str">
        <f>E96</f>
        <v>Sum inkl. rigg/drift</v>
      </c>
      <c r="F161" s="500" t="s">
        <v>35</v>
      </c>
      <c r="G161" s="501">
        <f>ROUNDUP(SUM(G157:G160)*1.17,-1)</f>
        <v>11340</v>
      </c>
      <c r="H161" s="499" t="str">
        <f>E161</f>
        <v>Sum inkl. rigg/drift</v>
      </c>
      <c r="I161" s="500" t="s">
        <v>35</v>
      </c>
      <c r="J161" s="501">
        <f>ROUNDUP(SUM(J157:J160)*1.17,-1)</f>
        <v>11340</v>
      </c>
      <c r="K161"/>
      <c r="L161"/>
      <c r="M161" s="490"/>
    </row>
    <row r="162" spans="1:16" s="491" customFormat="1" x14ac:dyDescent="0.25">
      <c r="A162" s="492"/>
      <c r="B162" s="509"/>
      <c r="C162" s="418"/>
      <c r="D162" s="503"/>
      <c r="E162" s="509"/>
      <c r="F162" s="418"/>
      <c r="G162" s="503"/>
      <c r="H162" s="502"/>
      <c r="I162" s="418"/>
      <c r="J162" s="503"/>
      <c r="K162"/>
      <c r="L162"/>
      <c r="M162" s="490"/>
    </row>
    <row r="163" spans="1:16" s="491" customFormat="1" x14ac:dyDescent="0.25">
      <c r="A163" s="492"/>
      <c r="B163" s="509"/>
      <c r="C163" s="418"/>
      <c r="D163" s="503"/>
      <c r="E163" s="509"/>
      <c r="F163" s="418"/>
      <c r="G163" s="503"/>
      <c r="H163" s="502"/>
      <c r="I163" s="418"/>
      <c r="J163" s="503"/>
      <c r="K163"/>
      <c r="L163"/>
      <c r="M163" s="490"/>
    </row>
    <row r="164" spans="1:16" s="515" customFormat="1" ht="21" x14ac:dyDescent="0.25">
      <c r="A164" s="510" t="s">
        <v>1</v>
      </c>
      <c r="B164" s="511" t="s">
        <v>1</v>
      </c>
      <c r="C164" s="512"/>
      <c r="D164" s="513"/>
      <c r="E164" s="511" t="s">
        <v>1</v>
      </c>
      <c r="F164" s="512"/>
      <c r="G164" s="513"/>
      <c r="H164" s="511" t="s">
        <v>1</v>
      </c>
      <c r="I164" s="512"/>
      <c r="J164" s="513"/>
      <c r="K164"/>
      <c r="L164"/>
      <c r="M164" s="514"/>
    </row>
    <row r="165" spans="1:16" s="491" customFormat="1" ht="76.150000000000006" customHeight="1" x14ac:dyDescent="0.25">
      <c r="A165" s="487" t="s">
        <v>615</v>
      </c>
      <c r="B165" s="488" t="s">
        <v>622</v>
      </c>
      <c r="C165" s="419" t="s">
        <v>623</v>
      </c>
      <c r="D165" s="489"/>
      <c r="E165" s="488" t="s">
        <v>667</v>
      </c>
      <c r="F165" s="419" t="s">
        <v>621</v>
      </c>
      <c r="G165" s="489"/>
      <c r="H165" s="488" t="s">
        <v>668</v>
      </c>
      <c r="I165" s="419" t="s">
        <v>624</v>
      </c>
      <c r="J165" s="489"/>
      <c r="K165"/>
      <c r="L165"/>
      <c r="M165" s="490"/>
      <c r="P165" s="553">
        <f>(300-275)/275</f>
        <v>9.0909090909090912E-2</v>
      </c>
    </row>
    <row r="166" spans="1:16" s="491" customFormat="1" ht="30" x14ac:dyDescent="0.25">
      <c r="A166" s="492"/>
      <c r="B166" s="493" t="s">
        <v>27</v>
      </c>
      <c r="C166" s="418" t="s">
        <v>58</v>
      </c>
      <c r="D166" s="486">
        <f>300*C73</f>
        <v>330.99</v>
      </c>
      <c r="E166" s="493" t="s">
        <v>27</v>
      </c>
      <c r="F166" s="418" t="s">
        <v>58</v>
      </c>
      <c r="G166" s="486">
        <f>300*C73</f>
        <v>330.99</v>
      </c>
      <c r="H166" s="493" t="s">
        <v>27</v>
      </c>
      <c r="I166" s="418" t="s">
        <v>25</v>
      </c>
      <c r="J166" s="494">
        <f>J79</f>
        <v>99.296999999999997</v>
      </c>
      <c r="K166"/>
      <c r="L166"/>
      <c r="M166" s="490"/>
    </row>
    <row r="167" spans="1:16" s="491" customFormat="1" ht="45" x14ac:dyDescent="0.25">
      <c r="A167" s="492"/>
      <c r="B167" s="493" t="s">
        <v>28</v>
      </c>
      <c r="C167" s="418" t="s">
        <v>816</v>
      </c>
      <c r="D167" s="516">
        <v>2300</v>
      </c>
      <c r="E167" s="493" t="s">
        <v>28</v>
      </c>
      <c r="F167" s="418" t="s">
        <v>817</v>
      </c>
      <c r="G167" s="516">
        <v>2200</v>
      </c>
      <c r="H167" s="493" t="s">
        <v>28</v>
      </c>
      <c r="I167" s="418" t="s">
        <v>818</v>
      </c>
      <c r="J167" s="486">
        <v>585</v>
      </c>
      <c r="K167"/>
      <c r="L167"/>
      <c r="M167" s="490"/>
    </row>
    <row r="168" spans="1:16" s="491" customFormat="1" ht="30" x14ac:dyDescent="0.25">
      <c r="A168" s="492"/>
      <c r="B168" s="493" t="s">
        <v>29</v>
      </c>
      <c r="C168" s="418" t="s">
        <v>56</v>
      </c>
      <c r="D168" s="486">
        <f>50*C73</f>
        <v>55.164999999999999</v>
      </c>
      <c r="E168" s="493" t="s">
        <v>29</v>
      </c>
      <c r="F168" s="418" t="s">
        <v>56</v>
      </c>
      <c r="G168" s="486">
        <f>50*C73</f>
        <v>55.164999999999999</v>
      </c>
      <c r="H168" s="493" t="s">
        <v>29</v>
      </c>
      <c r="I168" s="418" t="s">
        <v>819</v>
      </c>
      <c r="J168" s="486">
        <v>260</v>
      </c>
      <c r="K168"/>
      <c r="L168"/>
      <c r="M168" s="490"/>
    </row>
    <row r="169" spans="1:16" s="491" customFormat="1" ht="30" x14ac:dyDescent="0.25">
      <c r="A169" s="492"/>
      <c r="B169" s="493" t="s">
        <v>30</v>
      </c>
      <c r="C169" s="418" t="s">
        <v>820</v>
      </c>
      <c r="D169" s="486">
        <v>750</v>
      </c>
      <c r="E169" s="493" t="s">
        <v>30</v>
      </c>
      <c r="F169" s="418" t="s">
        <v>820</v>
      </c>
      <c r="G169" s="486">
        <v>750</v>
      </c>
      <c r="H169" s="493" t="s">
        <v>30</v>
      </c>
      <c r="I169" s="418" t="s">
        <v>33</v>
      </c>
      <c r="J169" s="486">
        <f>J82</f>
        <v>77.230999999999995</v>
      </c>
      <c r="K169"/>
      <c r="L169"/>
      <c r="M169" s="490"/>
    </row>
    <row r="170" spans="1:16" s="491" customFormat="1" x14ac:dyDescent="0.25">
      <c r="A170" s="492"/>
      <c r="B170" s="493" t="s">
        <v>31</v>
      </c>
      <c r="C170" s="418" t="s">
        <v>821</v>
      </c>
      <c r="D170" s="486">
        <v>0</v>
      </c>
      <c r="E170" s="493" t="s">
        <v>31</v>
      </c>
      <c r="F170" s="418" t="s">
        <v>821</v>
      </c>
      <c r="G170" s="486">
        <v>0</v>
      </c>
      <c r="H170" s="493" t="s">
        <v>31</v>
      </c>
      <c r="I170" s="418" t="s">
        <v>38</v>
      </c>
      <c r="J170" s="486">
        <f>J83</f>
        <v>99.296999999999997</v>
      </c>
      <c r="K170"/>
      <c r="L170"/>
      <c r="M170" s="490"/>
    </row>
    <row r="171" spans="1:16" s="491" customFormat="1" x14ac:dyDescent="0.25">
      <c r="A171" s="492"/>
      <c r="B171" s="493"/>
      <c r="C171" s="418"/>
      <c r="D171" s="486"/>
      <c r="E171" s="493"/>
      <c r="F171" s="418"/>
      <c r="G171" s="486"/>
      <c r="H171" s="493" t="s">
        <v>32</v>
      </c>
      <c r="I171" s="418" t="s">
        <v>40</v>
      </c>
      <c r="J171" s="486">
        <f>J84</f>
        <v>419.25399999999996</v>
      </c>
      <c r="K171"/>
      <c r="L171"/>
      <c r="M171" s="490"/>
    </row>
    <row r="172" spans="1:16" s="491" customFormat="1" ht="30" x14ac:dyDescent="0.25">
      <c r="A172" s="492"/>
      <c r="B172" s="493"/>
      <c r="C172" s="418"/>
      <c r="D172" s="486"/>
      <c r="E172" s="493"/>
      <c r="F172" s="418"/>
      <c r="G172" s="486"/>
      <c r="H172" s="493" t="s">
        <v>37</v>
      </c>
      <c r="I172" s="418" t="s">
        <v>820</v>
      </c>
      <c r="J172" s="516">
        <v>750</v>
      </c>
      <c r="K172"/>
      <c r="L172"/>
      <c r="M172" s="490"/>
    </row>
    <row r="173" spans="1:16" s="491" customFormat="1" x14ac:dyDescent="0.25">
      <c r="A173" s="492"/>
      <c r="B173" s="493"/>
      <c r="C173" s="418"/>
      <c r="D173" s="486"/>
      <c r="E173" s="493"/>
      <c r="F173" s="418"/>
      <c r="G173" s="486"/>
      <c r="H173" s="493" t="s">
        <v>42</v>
      </c>
      <c r="I173" s="418" t="s">
        <v>821</v>
      </c>
      <c r="J173" s="486">
        <v>0</v>
      </c>
      <c r="K173"/>
      <c r="L173"/>
      <c r="M173" s="490"/>
    </row>
    <row r="174" spans="1:16" s="491" customFormat="1" x14ac:dyDescent="0.25">
      <c r="A174" s="492"/>
      <c r="B174" s="493"/>
      <c r="C174" s="418"/>
      <c r="D174" s="486"/>
      <c r="E174" s="493"/>
      <c r="F174" s="418"/>
      <c r="G174" s="486"/>
      <c r="H174" s="493" t="s">
        <v>46</v>
      </c>
      <c r="I174" s="418" t="s">
        <v>34</v>
      </c>
      <c r="J174" s="486">
        <f>J87</f>
        <v>110.33</v>
      </c>
      <c r="K174"/>
      <c r="L174"/>
      <c r="M174" s="490"/>
    </row>
    <row r="175" spans="1:16" s="491" customFormat="1" ht="21.75" customHeight="1" x14ac:dyDescent="0.25">
      <c r="A175" s="492"/>
      <c r="B175" s="499" t="s">
        <v>67</v>
      </c>
      <c r="C175" s="500" t="s">
        <v>35</v>
      </c>
      <c r="D175" s="517">
        <f>ROUNDUP(SUM(D166:D174)*1.17,-1)</f>
        <v>4030</v>
      </c>
      <c r="E175" s="499" t="s">
        <v>67</v>
      </c>
      <c r="F175" s="500" t="s">
        <v>35</v>
      </c>
      <c r="G175" s="517">
        <f>ROUNDUP(SUM(G166:G174)*1.17,-1)</f>
        <v>3910</v>
      </c>
      <c r="H175" s="499" t="s">
        <v>67</v>
      </c>
      <c r="I175" s="500" t="s">
        <v>35</v>
      </c>
      <c r="J175" s="517">
        <f>ROUNDUP(SUM(J166:J174)*1.17,-1)</f>
        <v>2810</v>
      </c>
      <c r="K175"/>
      <c r="L175"/>
      <c r="M175" s="490"/>
    </row>
    <row r="176" spans="1:16" s="491" customFormat="1" x14ac:dyDescent="0.25">
      <c r="A176" s="492"/>
      <c r="B176" s="509"/>
      <c r="C176" s="418"/>
      <c r="D176" s="503"/>
      <c r="E176" s="509"/>
      <c r="F176" s="418"/>
      <c r="G176" s="503"/>
      <c r="H176" s="502"/>
      <c r="I176" s="418"/>
      <c r="J176" s="503"/>
      <c r="K176"/>
      <c r="L176"/>
      <c r="M176" s="490"/>
    </row>
    <row r="177" spans="1:13" s="418" customFormat="1" ht="61.9" customHeight="1" x14ac:dyDescent="0.25">
      <c r="A177" s="518"/>
      <c r="B177" s="519"/>
      <c r="C177" s="418" t="s">
        <v>822</v>
      </c>
      <c r="D177" s="486">
        <v>1365</v>
      </c>
      <c r="E177" s="519"/>
      <c r="F177" s="418" t="s">
        <v>823</v>
      </c>
      <c r="G177" s="486">
        <v>1250</v>
      </c>
      <c r="H177" s="502"/>
      <c r="I177" s="418" t="s">
        <v>824</v>
      </c>
      <c r="J177" s="618">
        <v>820</v>
      </c>
      <c r="K177"/>
      <c r="L177"/>
      <c r="M177" s="520"/>
    </row>
    <row r="178" spans="1:13" s="491" customFormat="1" ht="45" x14ac:dyDescent="0.25">
      <c r="A178" s="492"/>
      <c r="B178" s="519"/>
      <c r="C178" s="418" t="s">
        <v>825</v>
      </c>
      <c r="D178" s="496">
        <v>2220</v>
      </c>
      <c r="E178" s="519"/>
      <c r="F178" s="418" t="s">
        <v>826</v>
      </c>
      <c r="G178" s="496">
        <f>1885*C73</f>
        <v>2079.7204999999999</v>
      </c>
      <c r="H178" s="502"/>
      <c r="I178" s="418" t="s">
        <v>827</v>
      </c>
      <c r="J178" s="618">
        <v>1390</v>
      </c>
      <c r="K178"/>
      <c r="L178"/>
      <c r="M178" s="490"/>
    </row>
    <row r="179" spans="1:13" s="491" customFormat="1" x14ac:dyDescent="0.25">
      <c r="A179" s="492"/>
      <c r="B179" s="509"/>
      <c r="C179" s="418"/>
      <c r="D179" s="503"/>
      <c r="E179" s="509"/>
      <c r="F179" s="418"/>
      <c r="G179" s="503"/>
      <c r="H179" s="502"/>
      <c r="I179" s="418"/>
      <c r="J179" s="503"/>
      <c r="K179"/>
      <c r="L179"/>
      <c r="M179" s="490"/>
    </row>
    <row r="180" spans="1:13" s="491" customFormat="1" ht="76.150000000000006" customHeight="1" x14ac:dyDescent="0.25">
      <c r="A180" s="487" t="s">
        <v>615</v>
      </c>
      <c r="B180" s="488" t="s">
        <v>622</v>
      </c>
      <c r="C180" s="419" t="s">
        <v>623</v>
      </c>
      <c r="D180" s="489"/>
      <c r="E180" s="488" t="s">
        <v>667</v>
      </c>
      <c r="F180" s="419" t="s">
        <v>621</v>
      </c>
      <c r="G180" s="489"/>
      <c r="H180" s="488" t="s">
        <v>668</v>
      </c>
      <c r="I180" s="419" t="s">
        <v>624</v>
      </c>
      <c r="J180" s="489"/>
      <c r="K180"/>
      <c r="L180"/>
      <c r="M180" s="490"/>
    </row>
    <row r="181" spans="1:13" s="491" customFormat="1" ht="30" x14ac:dyDescent="0.25">
      <c r="A181" s="492" t="s">
        <v>987</v>
      </c>
      <c r="B181" s="493" t="s">
        <v>27</v>
      </c>
      <c r="C181" s="418" t="s">
        <v>58</v>
      </c>
      <c r="D181" s="486">
        <f>D166</f>
        <v>330.99</v>
      </c>
      <c r="E181" s="493" t="s">
        <v>27</v>
      </c>
      <c r="F181" s="418" t="s">
        <v>58</v>
      </c>
      <c r="G181" s="486">
        <f>G166</f>
        <v>330.99</v>
      </c>
      <c r="H181" s="493" t="s">
        <v>27</v>
      </c>
      <c r="I181" s="418" t="s">
        <v>25</v>
      </c>
      <c r="J181" s="494">
        <v>0</v>
      </c>
      <c r="K181"/>
      <c r="L181"/>
      <c r="M181" s="490"/>
    </row>
    <row r="182" spans="1:13" s="491" customFormat="1" ht="45" x14ac:dyDescent="0.25">
      <c r="A182" s="492" t="s">
        <v>988</v>
      </c>
      <c r="B182" s="493" t="s">
        <v>28</v>
      </c>
      <c r="C182" s="418" t="s">
        <v>816</v>
      </c>
      <c r="D182" s="486">
        <f>D167-D186-D187</f>
        <v>1100</v>
      </c>
      <c r="E182" s="493" t="s">
        <v>28</v>
      </c>
      <c r="F182" s="418" t="s">
        <v>817</v>
      </c>
      <c r="G182" s="486">
        <f>G167-G186-G187</f>
        <v>1000</v>
      </c>
      <c r="H182" s="493" t="s">
        <v>28</v>
      </c>
      <c r="I182" s="418" t="s">
        <v>818</v>
      </c>
      <c r="J182" s="494">
        <f t="shared" ref="J182:J188" si="13">J167</f>
        <v>585</v>
      </c>
      <c r="K182"/>
      <c r="L182"/>
      <c r="M182" s="490"/>
    </row>
    <row r="183" spans="1:13" s="491" customFormat="1" ht="30" x14ac:dyDescent="0.25">
      <c r="A183" s="492" t="s">
        <v>989</v>
      </c>
      <c r="B183" s="493" t="s">
        <v>29</v>
      </c>
      <c r="C183" s="418" t="s">
        <v>56</v>
      </c>
      <c r="D183" s="486">
        <f t="shared" ref="D183:D185" si="14">D168</f>
        <v>55.164999999999999</v>
      </c>
      <c r="E183" s="493" t="s">
        <v>29</v>
      </c>
      <c r="F183" s="418" t="s">
        <v>56</v>
      </c>
      <c r="G183" s="486">
        <f t="shared" ref="G183:G185" si="15">G168</f>
        <v>55.164999999999999</v>
      </c>
      <c r="H183" s="493" t="s">
        <v>29</v>
      </c>
      <c r="I183" s="418" t="s">
        <v>819</v>
      </c>
      <c r="J183" s="494">
        <f t="shared" si="13"/>
        <v>260</v>
      </c>
      <c r="K183"/>
      <c r="L183"/>
      <c r="M183" s="490"/>
    </row>
    <row r="184" spans="1:13" s="491" customFormat="1" ht="30" x14ac:dyDescent="0.25">
      <c r="A184" s="492" t="s">
        <v>990</v>
      </c>
      <c r="B184" s="493" t="s">
        <v>30</v>
      </c>
      <c r="C184" s="418" t="s">
        <v>820</v>
      </c>
      <c r="D184" s="516">
        <f>D169</f>
        <v>750</v>
      </c>
      <c r="E184" s="493" t="s">
        <v>30</v>
      </c>
      <c r="F184" s="418" t="s">
        <v>820</v>
      </c>
      <c r="G184" s="516">
        <f>G169</f>
        <v>750</v>
      </c>
      <c r="H184" s="493" t="s">
        <v>30</v>
      </c>
      <c r="I184" s="418" t="s">
        <v>33</v>
      </c>
      <c r="J184" s="494">
        <v>0</v>
      </c>
      <c r="K184"/>
      <c r="L184"/>
      <c r="M184" s="490"/>
    </row>
    <row r="185" spans="1:13" s="491" customFormat="1" x14ac:dyDescent="0.25">
      <c r="A185" s="492" t="s">
        <v>991</v>
      </c>
      <c r="B185" s="493" t="s">
        <v>31</v>
      </c>
      <c r="C185" s="418" t="s">
        <v>821</v>
      </c>
      <c r="D185" s="486">
        <f t="shared" si="14"/>
        <v>0</v>
      </c>
      <c r="E185" s="493" t="s">
        <v>31</v>
      </c>
      <c r="F185" s="418" t="s">
        <v>821</v>
      </c>
      <c r="G185" s="486">
        <f t="shared" si="15"/>
        <v>0</v>
      </c>
      <c r="H185" s="493" t="s">
        <v>31</v>
      </c>
      <c r="I185" s="418" t="s">
        <v>38</v>
      </c>
      <c r="J185" s="494">
        <v>0</v>
      </c>
      <c r="K185"/>
      <c r="L185"/>
      <c r="M185" s="490"/>
    </row>
    <row r="186" spans="1:13" s="491" customFormat="1" ht="45" x14ac:dyDescent="0.25">
      <c r="A186" s="492" t="s">
        <v>992</v>
      </c>
      <c r="B186" s="493" t="s">
        <v>32</v>
      </c>
      <c r="C186" s="524" t="s">
        <v>1020</v>
      </c>
      <c r="D186" s="516">
        <v>900</v>
      </c>
      <c r="E186" s="631" t="s">
        <v>32</v>
      </c>
      <c r="F186" s="524" t="str">
        <f>C186</f>
        <v>Banke ned gammel puss, utbedring underlag, ny puss av fasaden</v>
      </c>
      <c r="G186" s="632">
        <f>D186</f>
        <v>900</v>
      </c>
      <c r="H186" s="493" t="s">
        <v>32</v>
      </c>
      <c r="I186" s="418" t="s">
        <v>40</v>
      </c>
      <c r="J186" s="494">
        <v>0</v>
      </c>
      <c r="K186"/>
      <c r="L186"/>
      <c r="M186" s="490"/>
    </row>
    <row r="187" spans="1:13" s="491" customFormat="1" ht="30" x14ac:dyDescent="0.25">
      <c r="A187" s="492" t="s">
        <v>994</v>
      </c>
      <c r="B187" s="493" t="s">
        <v>37</v>
      </c>
      <c r="C187" s="524" t="s">
        <v>997</v>
      </c>
      <c r="D187" s="516">
        <v>300</v>
      </c>
      <c r="E187" s="631" t="s">
        <v>37</v>
      </c>
      <c r="F187" s="524" t="str">
        <f>C187</f>
        <v>Maling</v>
      </c>
      <c r="G187" s="632">
        <f>D187</f>
        <v>300</v>
      </c>
      <c r="H187" s="493" t="s">
        <v>37</v>
      </c>
      <c r="I187" s="418" t="s">
        <v>820</v>
      </c>
      <c r="J187" s="516">
        <f>J172</f>
        <v>750</v>
      </c>
      <c r="K187"/>
      <c r="L187"/>
      <c r="M187" s="490"/>
    </row>
    <row r="188" spans="1:13" s="491" customFormat="1" x14ac:dyDescent="0.25">
      <c r="A188" s="492" t="s">
        <v>995</v>
      </c>
      <c r="B188" s="493"/>
      <c r="C188" s="418"/>
      <c r="D188" s="486"/>
      <c r="E188" s="493"/>
      <c r="F188" s="418"/>
      <c r="G188" s="486"/>
      <c r="H188" s="493" t="s">
        <v>42</v>
      </c>
      <c r="I188" s="418" t="s">
        <v>821</v>
      </c>
      <c r="J188" s="494">
        <f t="shared" si="13"/>
        <v>0</v>
      </c>
      <c r="K188"/>
      <c r="L188"/>
      <c r="M188" s="490"/>
    </row>
    <row r="189" spans="1:13" s="491" customFormat="1" x14ac:dyDescent="0.25">
      <c r="A189" s="492" t="s">
        <v>996</v>
      </c>
      <c r="B189" s="493"/>
      <c r="C189" s="418"/>
      <c r="D189" s="486"/>
      <c r="E189" s="493"/>
      <c r="F189" s="418"/>
      <c r="G189" s="486"/>
      <c r="H189" s="493" t="s">
        <v>46</v>
      </c>
      <c r="I189" s="418" t="s">
        <v>34</v>
      </c>
      <c r="J189" s="494">
        <v>0</v>
      </c>
      <c r="K189"/>
      <c r="L189"/>
      <c r="M189" s="490"/>
    </row>
    <row r="190" spans="1:13" s="491" customFormat="1" ht="21.75" customHeight="1" x14ac:dyDescent="0.25">
      <c r="A190" s="492"/>
      <c r="B190" s="499" t="s">
        <v>1000</v>
      </c>
      <c r="C190" s="500" t="s">
        <v>35</v>
      </c>
      <c r="D190" s="517">
        <f>ROUNDUP(SUM(D181:D185),-1)</f>
        <v>2240</v>
      </c>
      <c r="E190" s="499" t="s">
        <v>1000</v>
      </c>
      <c r="F190" s="500" t="s">
        <v>35</v>
      </c>
      <c r="G190" s="517">
        <f>ROUNDUP(SUM(G181:G185),-1)</f>
        <v>2140</v>
      </c>
      <c r="H190" s="499" t="s">
        <v>1000</v>
      </c>
      <c r="I190" s="500" t="s">
        <v>35</v>
      </c>
      <c r="J190" s="517">
        <f>ROUNDUP(SUM(J181:J189),-1)</f>
        <v>1600</v>
      </c>
      <c r="K190"/>
      <c r="L190"/>
      <c r="M190" s="490"/>
    </row>
    <row r="191" spans="1:13" s="491" customFormat="1" x14ac:dyDescent="0.25">
      <c r="A191" s="492"/>
      <c r="B191" s="509"/>
      <c r="C191" s="418"/>
      <c r="D191" s="503"/>
      <c r="E191" s="509"/>
      <c r="F191" s="418"/>
      <c r="G191" s="503"/>
      <c r="H191" s="502"/>
      <c r="I191" s="418"/>
      <c r="J191" s="503"/>
      <c r="K191"/>
      <c r="L191"/>
      <c r="M191" s="490"/>
    </row>
    <row r="192" spans="1:13" s="418" customFormat="1" ht="61.9" customHeight="1" x14ac:dyDescent="0.25">
      <c r="A192" s="518"/>
      <c r="B192" s="519"/>
      <c r="C192" s="418" t="s">
        <v>822</v>
      </c>
      <c r="D192" s="615">
        <v>0</v>
      </c>
      <c r="E192" s="519"/>
      <c r="F192" s="418" t="s">
        <v>823</v>
      </c>
      <c r="G192" s="615">
        <v>0</v>
      </c>
      <c r="H192" s="502"/>
      <c r="I192" s="418" t="s">
        <v>824</v>
      </c>
      <c r="J192" s="615">
        <v>0</v>
      </c>
      <c r="K192"/>
      <c r="L192"/>
      <c r="M192" s="520"/>
    </row>
    <row r="193" spans="1:13" s="491" customFormat="1" ht="45" x14ac:dyDescent="0.25">
      <c r="A193" s="492"/>
      <c r="B193" s="519"/>
      <c r="C193" s="418" t="s">
        <v>825</v>
      </c>
      <c r="D193" s="615">
        <v>0</v>
      </c>
      <c r="E193" s="519"/>
      <c r="F193" s="418" t="s">
        <v>826</v>
      </c>
      <c r="G193" s="615">
        <v>0</v>
      </c>
      <c r="H193" s="502"/>
      <c r="I193" s="418" t="s">
        <v>827</v>
      </c>
      <c r="J193" s="615">
        <v>0</v>
      </c>
      <c r="K193"/>
      <c r="L193"/>
      <c r="M193" s="490"/>
    </row>
    <row r="194" spans="1:13" s="491" customFormat="1" x14ac:dyDescent="0.25">
      <c r="A194" s="492"/>
      <c r="B194" s="509"/>
      <c r="C194" s="418"/>
      <c r="D194" s="503"/>
      <c r="E194" s="509"/>
      <c r="F194" s="418"/>
      <c r="G194" s="503"/>
      <c r="H194" s="502"/>
      <c r="I194" s="418"/>
      <c r="J194" s="503"/>
      <c r="K194"/>
      <c r="L194"/>
      <c r="M194" s="490"/>
    </row>
    <row r="195" spans="1:13" s="491" customFormat="1" ht="62.45" customHeight="1" x14ac:dyDescent="0.25">
      <c r="A195" s="487" t="s">
        <v>616</v>
      </c>
      <c r="B195" s="488" t="s">
        <v>1008</v>
      </c>
      <c r="C195" s="419"/>
      <c r="D195" s="489"/>
      <c r="E195" s="488" t="s">
        <v>341</v>
      </c>
      <c r="F195" s="419" t="s">
        <v>629</v>
      </c>
      <c r="G195" s="489"/>
      <c r="H195" s="488" t="s">
        <v>342</v>
      </c>
      <c r="I195" s="419" t="s">
        <v>630</v>
      </c>
      <c r="J195" s="489"/>
      <c r="K195"/>
      <c r="L195"/>
      <c r="M195" s="490"/>
    </row>
    <row r="196" spans="1:13" s="491" customFormat="1" ht="30" x14ac:dyDescent="0.25">
      <c r="A196" s="492"/>
      <c r="B196" s="493"/>
      <c r="D196" s="496"/>
      <c r="E196" s="493" t="s">
        <v>27</v>
      </c>
      <c r="F196" s="418" t="s">
        <v>59</v>
      </c>
      <c r="G196" s="486">
        <f>110*C73</f>
        <v>121.363</v>
      </c>
      <c r="H196" s="493" t="s">
        <v>27</v>
      </c>
      <c r="I196" s="418" t="s">
        <v>59</v>
      </c>
      <c r="J196" s="486">
        <f>G196</f>
        <v>121.363</v>
      </c>
      <c r="K196"/>
      <c r="L196"/>
      <c r="M196" s="490"/>
    </row>
    <row r="197" spans="1:13" s="491" customFormat="1" ht="30" x14ac:dyDescent="0.25">
      <c r="A197" s="492"/>
      <c r="B197" s="493"/>
      <c r="C197" s="418"/>
      <c r="D197" s="496"/>
      <c r="E197" s="493" t="s">
        <v>28</v>
      </c>
      <c r="F197" s="418" t="s">
        <v>828</v>
      </c>
      <c r="G197" s="486">
        <v>390</v>
      </c>
      <c r="H197" s="493" t="s">
        <v>28</v>
      </c>
      <c r="I197" s="418" t="s">
        <v>829</v>
      </c>
      <c r="J197" s="486">
        <v>290</v>
      </c>
      <c r="K197"/>
      <c r="L197"/>
      <c r="M197" s="490"/>
    </row>
    <row r="198" spans="1:13" s="491" customFormat="1" x14ac:dyDescent="0.25">
      <c r="A198" s="492"/>
      <c r="B198" s="493"/>
      <c r="D198" s="496"/>
      <c r="E198" s="493" t="s">
        <v>29</v>
      </c>
      <c r="F198" s="418" t="s">
        <v>60</v>
      </c>
      <c r="G198" s="486">
        <f>500*C73</f>
        <v>551.65</v>
      </c>
      <c r="H198" s="493" t="s">
        <v>29</v>
      </c>
      <c r="I198" s="418" t="s">
        <v>60</v>
      </c>
      <c r="J198" s="486">
        <f>G198</f>
        <v>551.65</v>
      </c>
      <c r="K198"/>
      <c r="L198"/>
      <c r="M198" s="490"/>
    </row>
    <row r="199" spans="1:13" s="491" customFormat="1" x14ac:dyDescent="0.25">
      <c r="A199" s="492"/>
      <c r="B199" s="493"/>
      <c r="C199" s="418"/>
      <c r="D199" s="496"/>
      <c r="E199" s="493" t="s">
        <v>30</v>
      </c>
      <c r="F199" s="418" t="s">
        <v>61</v>
      </c>
      <c r="G199" s="486">
        <f>100*C73</f>
        <v>110.33</v>
      </c>
      <c r="H199" s="493" t="s">
        <v>30</v>
      </c>
      <c r="I199" s="418" t="s">
        <v>61</v>
      </c>
      <c r="J199" s="486">
        <f>G199</f>
        <v>110.33</v>
      </c>
      <c r="K199"/>
      <c r="L199"/>
      <c r="M199" s="490"/>
    </row>
    <row r="200" spans="1:13" s="491" customFormat="1" x14ac:dyDescent="0.25">
      <c r="A200" s="492"/>
      <c r="B200" s="493"/>
      <c r="C200" s="418"/>
      <c r="D200" s="496"/>
      <c r="E200" s="493"/>
      <c r="F200" s="418"/>
      <c r="G200" s="486"/>
      <c r="H200" s="493"/>
      <c r="I200" s="418"/>
      <c r="J200" s="486"/>
      <c r="K200"/>
      <c r="L200"/>
      <c r="M200" s="490"/>
    </row>
    <row r="201" spans="1:13" s="491" customFormat="1" x14ac:dyDescent="0.25">
      <c r="A201" s="492"/>
      <c r="B201" s="493"/>
      <c r="D201" s="496"/>
      <c r="E201" s="493"/>
      <c r="F201" s="418"/>
      <c r="G201" s="486"/>
      <c r="H201" s="493"/>
      <c r="I201" s="418"/>
      <c r="J201" s="486"/>
      <c r="K201"/>
      <c r="L201"/>
      <c r="M201" s="490"/>
    </row>
    <row r="202" spans="1:13" s="491" customFormat="1" x14ac:dyDescent="0.25">
      <c r="A202" s="492"/>
      <c r="B202" s="493"/>
      <c r="C202" s="418"/>
      <c r="D202" s="496"/>
      <c r="E202" s="493"/>
      <c r="F202" s="418"/>
      <c r="G202" s="486"/>
      <c r="H202" s="493"/>
      <c r="I202" s="418"/>
      <c r="J202" s="486"/>
      <c r="K202"/>
      <c r="L202"/>
      <c r="M202" s="490"/>
    </row>
    <row r="203" spans="1:13" s="491" customFormat="1" x14ac:dyDescent="0.25">
      <c r="A203" s="492"/>
      <c r="B203" s="493"/>
      <c r="C203" s="418"/>
      <c r="D203" s="521"/>
      <c r="E203" s="493"/>
      <c r="F203" s="418"/>
      <c r="G203" s="486"/>
      <c r="H203" s="493"/>
      <c r="I203" s="418"/>
      <c r="J203" s="486"/>
      <c r="K203"/>
      <c r="L203"/>
      <c r="M203" s="490"/>
    </row>
    <row r="204" spans="1:13" s="491" customFormat="1" x14ac:dyDescent="0.25">
      <c r="A204" s="492"/>
      <c r="B204" s="493"/>
      <c r="C204" s="418"/>
      <c r="D204" s="521"/>
      <c r="E204" s="493"/>
      <c r="F204" s="418"/>
      <c r="G204" s="486"/>
      <c r="H204" s="493"/>
      <c r="I204" s="418"/>
      <c r="J204" s="486"/>
      <c r="K204"/>
      <c r="L204"/>
      <c r="M204" s="490"/>
    </row>
    <row r="205" spans="1:13" s="491" customFormat="1" x14ac:dyDescent="0.25">
      <c r="A205" s="492"/>
      <c r="B205" s="499"/>
      <c r="C205" s="500"/>
      <c r="D205" s="517"/>
      <c r="E205" s="499" t="s">
        <v>67</v>
      </c>
      <c r="F205" s="500" t="s">
        <v>35</v>
      </c>
      <c r="G205" s="517">
        <f>ROUNDUP(SUM(G196:G204)*1.17,-1)</f>
        <v>1380</v>
      </c>
      <c r="H205" s="499" t="s">
        <v>67</v>
      </c>
      <c r="I205" s="500" t="s">
        <v>35</v>
      </c>
      <c r="J205" s="517">
        <f>ROUNDUP(SUM(J196:J199)*1.17,-1)</f>
        <v>1260</v>
      </c>
      <c r="K205"/>
      <c r="L205"/>
      <c r="M205" s="490"/>
    </row>
    <row r="206" spans="1:13" s="491" customFormat="1" x14ac:dyDescent="0.25">
      <c r="A206" s="492"/>
      <c r="B206" s="509"/>
      <c r="C206" s="418"/>
      <c r="D206" s="503"/>
      <c r="E206" s="509"/>
      <c r="F206" s="418"/>
      <c r="G206" s="503"/>
      <c r="H206" s="502"/>
      <c r="I206" s="418"/>
      <c r="J206" s="503"/>
      <c r="K206"/>
      <c r="L206"/>
      <c r="M206" s="490"/>
    </row>
    <row r="207" spans="1:13" s="491" customFormat="1" ht="62.45" customHeight="1" x14ac:dyDescent="0.25">
      <c r="A207" s="487" t="s">
        <v>1011</v>
      </c>
      <c r="B207" s="488" t="s">
        <v>669</v>
      </c>
      <c r="C207" s="419" t="s">
        <v>631</v>
      </c>
      <c r="D207" s="489"/>
      <c r="E207" s="488" t="s">
        <v>341</v>
      </c>
      <c r="F207" s="419" t="s">
        <v>629</v>
      </c>
      <c r="G207" s="489"/>
      <c r="H207" s="488" t="s">
        <v>342</v>
      </c>
      <c r="I207" s="419" t="s">
        <v>630</v>
      </c>
      <c r="J207" s="489"/>
      <c r="K207"/>
      <c r="L207"/>
      <c r="M207" s="490"/>
    </row>
    <row r="208" spans="1:13" s="491" customFormat="1" ht="30" x14ac:dyDescent="0.25">
      <c r="A208" s="492" t="s">
        <v>987</v>
      </c>
      <c r="B208" s="493" t="s">
        <v>27</v>
      </c>
      <c r="C208" s="491" t="s">
        <v>670</v>
      </c>
      <c r="D208" s="496">
        <v>55</v>
      </c>
      <c r="E208" s="493" t="s">
        <v>27</v>
      </c>
      <c r="F208" s="418" t="s">
        <v>59</v>
      </c>
      <c r="G208" s="486">
        <v>0</v>
      </c>
      <c r="H208" s="493" t="s">
        <v>27</v>
      </c>
      <c r="I208" s="418" t="s">
        <v>59</v>
      </c>
      <c r="J208" s="486">
        <v>0</v>
      </c>
      <c r="K208"/>
      <c r="L208"/>
      <c r="M208" s="490"/>
    </row>
    <row r="209" spans="1:13" s="491" customFormat="1" ht="30" x14ac:dyDescent="0.25">
      <c r="A209" s="492" t="s">
        <v>1010</v>
      </c>
      <c r="B209" s="493" t="s">
        <v>28</v>
      </c>
      <c r="C209" s="418" t="s">
        <v>655</v>
      </c>
      <c r="D209" s="496">
        <v>400</v>
      </c>
      <c r="E209" s="493" t="s">
        <v>28</v>
      </c>
      <c r="F209" s="418" t="s">
        <v>828</v>
      </c>
      <c r="G209" s="486">
        <f>G197</f>
        <v>390</v>
      </c>
      <c r="H209" s="493" t="s">
        <v>28</v>
      </c>
      <c r="I209" s="418" t="s">
        <v>829</v>
      </c>
      <c r="J209" s="486">
        <f>J197</f>
        <v>290</v>
      </c>
      <c r="K209"/>
      <c r="L209"/>
      <c r="M209" s="490"/>
    </row>
    <row r="210" spans="1:13" s="491" customFormat="1" x14ac:dyDescent="0.25">
      <c r="A210" s="492"/>
      <c r="B210" s="493" t="s">
        <v>29</v>
      </c>
      <c r="C210" s="491" t="s">
        <v>779</v>
      </c>
      <c r="D210" s="496">
        <v>240</v>
      </c>
      <c r="E210" s="493" t="s">
        <v>29</v>
      </c>
      <c r="F210" s="418" t="s">
        <v>60</v>
      </c>
      <c r="G210" s="486">
        <v>0</v>
      </c>
      <c r="H210" s="493" t="s">
        <v>29</v>
      </c>
      <c r="I210" s="418" t="s">
        <v>60</v>
      </c>
      <c r="J210" s="486">
        <v>0</v>
      </c>
      <c r="K210"/>
      <c r="L210"/>
      <c r="M210" s="490"/>
    </row>
    <row r="211" spans="1:13" s="491" customFormat="1" ht="30" x14ac:dyDescent="0.25">
      <c r="A211" s="492"/>
      <c r="B211" s="493" t="s">
        <v>30</v>
      </c>
      <c r="C211" s="418" t="s">
        <v>780</v>
      </c>
      <c r="D211" s="496">
        <v>760</v>
      </c>
      <c r="E211" s="493" t="s">
        <v>30</v>
      </c>
      <c r="F211" s="418" t="s">
        <v>61</v>
      </c>
      <c r="G211" s="486">
        <v>0</v>
      </c>
      <c r="H211" s="493" t="s">
        <v>30</v>
      </c>
      <c r="I211" s="418" t="s">
        <v>61</v>
      </c>
      <c r="J211" s="486">
        <v>0</v>
      </c>
      <c r="K211"/>
      <c r="L211"/>
      <c r="M211" s="490"/>
    </row>
    <row r="212" spans="1:13" s="491" customFormat="1" ht="30" x14ac:dyDescent="0.25">
      <c r="A212" s="492"/>
      <c r="B212" s="493" t="s">
        <v>31</v>
      </c>
      <c r="C212" s="418" t="s">
        <v>781</v>
      </c>
      <c r="D212" s="496">
        <v>420</v>
      </c>
      <c r="E212" s="493"/>
      <c r="F212" s="418"/>
      <c r="G212" s="486"/>
      <c r="H212" s="493"/>
      <c r="I212" s="418"/>
      <c r="J212" s="486"/>
      <c r="K212"/>
      <c r="L212"/>
      <c r="M212" s="490"/>
    </row>
    <row r="213" spans="1:13" s="491" customFormat="1" x14ac:dyDescent="0.25">
      <c r="A213" s="492"/>
      <c r="B213" s="493" t="s">
        <v>32</v>
      </c>
      <c r="C213" s="491" t="s">
        <v>671</v>
      </c>
      <c r="D213" s="496">
        <v>500</v>
      </c>
      <c r="E213" s="493"/>
      <c r="F213" s="418"/>
      <c r="G213" s="486"/>
      <c r="H213" s="493"/>
      <c r="I213" s="418"/>
      <c r="J213" s="486"/>
      <c r="K213"/>
      <c r="L213"/>
      <c r="M213" s="490"/>
    </row>
    <row r="214" spans="1:13" s="491" customFormat="1" x14ac:dyDescent="0.25">
      <c r="A214" s="492"/>
      <c r="B214" s="493" t="s">
        <v>37</v>
      </c>
      <c r="C214" s="418" t="s">
        <v>672</v>
      </c>
      <c r="D214" s="496">
        <v>220</v>
      </c>
      <c r="E214" s="493"/>
      <c r="F214" s="418"/>
      <c r="G214" s="486"/>
      <c r="H214" s="493"/>
      <c r="I214" s="418"/>
      <c r="J214" s="486"/>
      <c r="K214"/>
      <c r="L214"/>
      <c r="M214" s="490"/>
    </row>
    <row r="215" spans="1:13" s="491" customFormat="1" x14ac:dyDescent="0.25">
      <c r="A215" s="492"/>
      <c r="B215" s="493"/>
      <c r="C215" s="418"/>
      <c r="D215" s="521"/>
      <c r="E215" s="493"/>
      <c r="F215" s="418"/>
      <c r="G215" s="486"/>
      <c r="H215" s="493"/>
      <c r="I215" s="418"/>
      <c r="J215" s="486"/>
      <c r="K215"/>
      <c r="L215"/>
      <c r="M215" s="490"/>
    </row>
    <row r="216" spans="1:13" s="491" customFormat="1" x14ac:dyDescent="0.25">
      <c r="A216" s="492"/>
      <c r="B216" s="493"/>
      <c r="C216" s="418"/>
      <c r="D216" s="521"/>
      <c r="E216" s="493"/>
      <c r="F216" s="418"/>
      <c r="G216" s="486"/>
      <c r="H216" s="493"/>
      <c r="I216" s="418"/>
      <c r="J216" s="486"/>
      <c r="K216"/>
      <c r="L216"/>
      <c r="M216" s="490"/>
    </row>
    <row r="217" spans="1:13" s="491" customFormat="1" x14ac:dyDescent="0.25">
      <c r="A217" s="492"/>
      <c r="B217" s="499" t="s">
        <v>67</v>
      </c>
      <c r="C217" s="500" t="s">
        <v>35</v>
      </c>
      <c r="D217" s="517">
        <f>ROUNDUP(SUM(D208:D216)*1.17,-1)</f>
        <v>3040</v>
      </c>
      <c r="E217" s="499" t="s">
        <v>67</v>
      </c>
      <c r="F217" s="500" t="s">
        <v>35</v>
      </c>
      <c r="G217" s="517">
        <f>ROUNDUP(SUM(G208:G216)*1.17,-1)</f>
        <v>460</v>
      </c>
      <c r="H217" s="499" t="s">
        <v>67</v>
      </c>
      <c r="I217" s="500" t="s">
        <v>35</v>
      </c>
      <c r="J217" s="517">
        <f>ROUNDUP(SUM(J208:J211)*1.17,-1)</f>
        <v>340</v>
      </c>
      <c r="K217"/>
      <c r="L217"/>
      <c r="M217" s="490"/>
    </row>
    <row r="218" spans="1:13" s="491" customFormat="1" x14ac:dyDescent="0.25">
      <c r="A218" s="492"/>
      <c r="B218" s="509"/>
      <c r="C218" s="418"/>
      <c r="D218" s="503"/>
      <c r="E218" s="509"/>
      <c r="F218" s="418"/>
      <c r="G218" s="621"/>
      <c r="H218" s="502"/>
      <c r="I218" s="418"/>
      <c r="J218" s="503"/>
      <c r="K218"/>
      <c r="L218"/>
      <c r="M218" s="490"/>
    </row>
    <row r="219" spans="1:13" s="491" customFormat="1" ht="104.45" customHeight="1" x14ac:dyDescent="0.25">
      <c r="A219" s="487" t="s">
        <v>617</v>
      </c>
      <c r="B219" s="488" t="s">
        <v>673</v>
      </c>
      <c r="C219" s="419" t="s">
        <v>675</v>
      </c>
      <c r="D219" s="489"/>
      <c r="E219" s="488" t="s">
        <v>336</v>
      </c>
      <c r="F219" s="419" t="s">
        <v>639</v>
      </c>
      <c r="G219" s="505"/>
      <c r="H219" s="488" t="s">
        <v>648</v>
      </c>
      <c r="I219" s="419" t="s">
        <v>639</v>
      </c>
      <c r="J219" s="489"/>
      <c r="K219"/>
      <c r="L219"/>
      <c r="M219" s="490"/>
    </row>
    <row r="220" spans="1:13" s="491" customFormat="1" ht="28.15" customHeight="1" x14ac:dyDescent="0.25">
      <c r="A220" s="492"/>
      <c r="B220" s="493" t="s">
        <v>27</v>
      </c>
      <c r="C220" s="418" t="s">
        <v>770</v>
      </c>
      <c r="D220" s="506">
        <v>115</v>
      </c>
      <c r="E220" s="493" t="s">
        <v>27</v>
      </c>
      <c r="F220" s="418" t="s">
        <v>51</v>
      </c>
      <c r="G220" s="506">
        <f>540*C73</f>
        <v>595.78199999999993</v>
      </c>
      <c r="H220" s="493" t="s">
        <v>27</v>
      </c>
      <c r="I220" s="418" t="s">
        <v>782</v>
      </c>
      <c r="J220" s="496">
        <v>120</v>
      </c>
      <c r="K220"/>
      <c r="L220"/>
      <c r="M220" s="490"/>
    </row>
    <row r="221" spans="1:13" s="491" customFormat="1" x14ac:dyDescent="0.25">
      <c r="A221" s="492"/>
      <c r="B221" s="493" t="s">
        <v>28</v>
      </c>
      <c r="C221" s="418" t="s">
        <v>663</v>
      </c>
      <c r="D221" s="506">
        <v>400</v>
      </c>
      <c r="E221" s="493" t="s">
        <v>28</v>
      </c>
      <c r="F221" s="418" t="s">
        <v>48</v>
      </c>
      <c r="G221" s="506">
        <f>50*C73</f>
        <v>55.164999999999999</v>
      </c>
      <c r="H221" s="493" t="s">
        <v>28</v>
      </c>
      <c r="I221" s="418" t="s">
        <v>783</v>
      </c>
      <c r="J221" s="496">
        <v>100</v>
      </c>
      <c r="K221"/>
      <c r="L221"/>
      <c r="M221" s="490"/>
    </row>
    <row r="222" spans="1:13" s="491" customFormat="1" ht="30" x14ac:dyDescent="0.25">
      <c r="A222" s="492"/>
      <c r="B222" s="493" t="s">
        <v>29</v>
      </c>
      <c r="C222" s="418" t="s">
        <v>784</v>
      </c>
      <c r="D222" s="506">
        <v>475</v>
      </c>
      <c r="E222" s="493" t="s">
        <v>29</v>
      </c>
      <c r="F222" s="418" t="s">
        <v>53</v>
      </c>
      <c r="G222" s="506">
        <f>130*C73</f>
        <v>143.429</v>
      </c>
      <c r="H222" s="493" t="s">
        <v>29</v>
      </c>
      <c r="I222" s="418" t="s">
        <v>785</v>
      </c>
      <c r="J222" s="496">
        <v>370</v>
      </c>
      <c r="K222"/>
      <c r="L222"/>
      <c r="M222" s="490"/>
    </row>
    <row r="223" spans="1:13" s="491" customFormat="1" ht="30" x14ac:dyDescent="0.25">
      <c r="A223" s="492"/>
      <c r="B223" s="493" t="s">
        <v>30</v>
      </c>
      <c r="C223" s="491" t="s">
        <v>664</v>
      </c>
      <c r="D223" s="506">
        <v>50</v>
      </c>
      <c r="E223" s="493" t="s">
        <v>30</v>
      </c>
      <c r="F223" s="418" t="s">
        <v>830</v>
      </c>
      <c r="G223" s="506">
        <v>260</v>
      </c>
      <c r="H223" s="493" t="s">
        <v>30</v>
      </c>
      <c r="I223" s="418" t="s">
        <v>786</v>
      </c>
      <c r="J223" s="496">
        <v>920</v>
      </c>
      <c r="K223"/>
      <c r="L223"/>
      <c r="M223" s="490"/>
    </row>
    <row r="224" spans="1:13" s="491" customFormat="1" ht="30" x14ac:dyDescent="0.25">
      <c r="A224" s="492"/>
      <c r="B224" s="493" t="s">
        <v>31</v>
      </c>
      <c r="C224" s="418" t="s">
        <v>775</v>
      </c>
      <c r="D224" s="506">
        <v>420</v>
      </c>
      <c r="E224" s="493" t="s">
        <v>31</v>
      </c>
      <c r="F224" s="418" t="s">
        <v>54</v>
      </c>
      <c r="G224" s="506">
        <f>200*C73</f>
        <v>220.66</v>
      </c>
      <c r="H224" s="493" t="s">
        <v>31</v>
      </c>
      <c r="I224" s="418" t="s">
        <v>664</v>
      </c>
      <c r="J224" s="496">
        <v>50</v>
      </c>
      <c r="K224"/>
      <c r="L224"/>
      <c r="M224" s="490"/>
    </row>
    <row r="225" spans="1:15" s="491" customFormat="1" ht="30" x14ac:dyDescent="0.25">
      <c r="A225" s="492"/>
      <c r="B225" s="493" t="s">
        <v>32</v>
      </c>
      <c r="C225" s="418" t="s">
        <v>665</v>
      </c>
      <c r="D225" s="506">
        <v>200</v>
      </c>
      <c r="E225" s="493" t="s">
        <v>32</v>
      </c>
      <c r="F225" s="418" t="s">
        <v>831</v>
      </c>
      <c r="G225" s="506">
        <v>780</v>
      </c>
      <c r="H225" s="493" t="s">
        <v>32</v>
      </c>
      <c r="I225" s="418" t="s">
        <v>665</v>
      </c>
      <c r="J225" s="496">
        <v>200</v>
      </c>
      <c r="K225"/>
      <c r="L225"/>
      <c r="M225" s="490"/>
    </row>
    <row r="226" spans="1:15" s="491" customFormat="1" x14ac:dyDescent="0.25">
      <c r="A226" s="492"/>
      <c r="B226" s="493" t="s">
        <v>37</v>
      </c>
      <c r="C226" s="418"/>
      <c r="D226" s="496"/>
      <c r="E226" s="493" t="s">
        <v>37</v>
      </c>
      <c r="F226" s="418" t="s">
        <v>49</v>
      </c>
      <c r="G226" s="506">
        <f>40*C73</f>
        <v>44.131999999999998</v>
      </c>
      <c r="H226" s="493" t="s">
        <v>37</v>
      </c>
      <c r="I226" s="418"/>
      <c r="J226" s="496"/>
      <c r="K226"/>
      <c r="L226"/>
      <c r="M226" s="490"/>
    </row>
    <row r="227" spans="1:15" s="491" customFormat="1" x14ac:dyDescent="0.25">
      <c r="A227" s="492"/>
      <c r="B227" s="493" t="s">
        <v>42</v>
      </c>
      <c r="C227" s="418"/>
      <c r="D227" s="496"/>
      <c r="E227" s="493" t="s">
        <v>42</v>
      </c>
      <c r="F227" s="418" t="s">
        <v>50</v>
      </c>
      <c r="G227" s="506">
        <f>800*C73</f>
        <v>882.64</v>
      </c>
      <c r="H227" s="493" t="s">
        <v>42</v>
      </c>
      <c r="I227" s="418"/>
      <c r="J227" s="496"/>
      <c r="K227"/>
      <c r="L227"/>
      <c r="M227" s="490"/>
    </row>
    <row r="228" spans="1:15" s="491" customFormat="1" x14ac:dyDescent="0.25">
      <c r="A228" s="492"/>
      <c r="B228" s="493" t="s">
        <v>46</v>
      </c>
      <c r="C228" s="418"/>
      <c r="D228" s="496"/>
      <c r="E228" s="493" t="s">
        <v>46</v>
      </c>
      <c r="F228" s="418" t="s">
        <v>52</v>
      </c>
      <c r="G228" s="506">
        <f>650*C73</f>
        <v>717.14499999999998</v>
      </c>
      <c r="H228" s="493" t="s">
        <v>46</v>
      </c>
      <c r="I228" s="418"/>
      <c r="J228" s="496"/>
      <c r="K228"/>
      <c r="L228"/>
      <c r="M228" s="490"/>
    </row>
    <row r="229" spans="1:15" s="491" customFormat="1" x14ac:dyDescent="0.25">
      <c r="A229" s="492"/>
      <c r="B229" s="499" t="s">
        <v>67</v>
      </c>
      <c r="C229" s="500" t="s">
        <v>35</v>
      </c>
      <c r="D229" s="508">
        <f>ROUNDUP(SUM(D220:D228)*1.17,-1)</f>
        <v>1950</v>
      </c>
      <c r="E229" s="499" t="s">
        <v>67</v>
      </c>
      <c r="F229" s="500" t="s">
        <v>35</v>
      </c>
      <c r="G229" s="508">
        <f>ROUNDUP(SUM(G220:G228)*1.17,-1)</f>
        <v>4330</v>
      </c>
      <c r="H229" s="499" t="s">
        <v>67</v>
      </c>
      <c r="I229" s="500" t="s">
        <v>35</v>
      </c>
      <c r="J229" s="508">
        <f>ROUNDUP(SUM(J220:J228)*1.17,-1)</f>
        <v>2060</v>
      </c>
      <c r="K229"/>
      <c r="L229"/>
      <c r="M229" s="490"/>
    </row>
    <row r="230" spans="1:15" s="528" customFormat="1" x14ac:dyDescent="0.25">
      <c r="A230" s="522"/>
      <c r="B230" s="523"/>
      <c r="C230" s="524"/>
      <c r="D230" s="525"/>
      <c r="E230" s="523"/>
      <c r="F230" s="524"/>
      <c r="G230" s="525"/>
      <c r="H230" s="526"/>
      <c r="I230" s="524"/>
      <c r="J230" s="525"/>
      <c r="K230"/>
      <c r="L230"/>
      <c r="M230" s="527"/>
    </row>
    <row r="231" spans="1:15" s="491" customFormat="1" x14ac:dyDescent="0.25">
      <c r="A231" s="492" t="s">
        <v>618</v>
      </c>
      <c r="B231" s="488" t="s">
        <v>337</v>
      </c>
      <c r="C231" s="419" t="s">
        <v>24</v>
      </c>
      <c r="D231" s="489"/>
      <c r="E231" s="488" t="s">
        <v>337</v>
      </c>
      <c r="F231" s="419" t="s">
        <v>24</v>
      </c>
      <c r="G231" s="489"/>
      <c r="H231" s="488" t="s">
        <v>343</v>
      </c>
      <c r="I231" s="419" t="s">
        <v>24</v>
      </c>
      <c r="J231" s="489"/>
      <c r="K231"/>
      <c r="L231"/>
      <c r="M231" s="490"/>
    </row>
    <row r="232" spans="1:15" s="491" customFormat="1" ht="30" x14ac:dyDescent="0.25">
      <c r="A232" s="492"/>
      <c r="B232" s="493" t="s">
        <v>27</v>
      </c>
      <c r="C232" s="418" t="s">
        <v>55</v>
      </c>
      <c r="D232" s="496">
        <v>810</v>
      </c>
      <c r="E232" s="493" t="s">
        <v>27</v>
      </c>
      <c r="F232" s="418" t="s">
        <v>55</v>
      </c>
      <c r="G232" s="496">
        <v>810</v>
      </c>
      <c r="H232" s="493" t="s">
        <v>27</v>
      </c>
      <c r="I232" s="418" t="s">
        <v>55</v>
      </c>
      <c r="J232" s="496">
        <v>810</v>
      </c>
      <c r="K232"/>
      <c r="L232"/>
      <c r="M232" s="490"/>
    </row>
    <row r="233" spans="1:15" s="491" customFormat="1" x14ac:dyDescent="0.25">
      <c r="A233" s="492"/>
      <c r="B233" s="493" t="s">
        <v>28</v>
      </c>
      <c r="C233" s="418" t="s">
        <v>778</v>
      </c>
      <c r="D233" s="496">
        <v>6500</v>
      </c>
      <c r="E233" s="493" t="s">
        <v>28</v>
      </c>
      <c r="F233" s="418" t="s">
        <v>778</v>
      </c>
      <c r="G233" s="496">
        <v>6500</v>
      </c>
      <c r="H233" s="493" t="s">
        <v>28</v>
      </c>
      <c r="I233" s="418" t="s">
        <v>778</v>
      </c>
      <c r="J233" s="496">
        <v>6500</v>
      </c>
      <c r="K233"/>
      <c r="L233"/>
      <c r="M233" s="490"/>
    </row>
    <row r="234" spans="1:15" s="491" customFormat="1" x14ac:dyDescent="0.25">
      <c r="A234" s="492"/>
      <c r="B234" s="493" t="s">
        <v>29</v>
      </c>
      <c r="C234" s="418" t="s">
        <v>77</v>
      </c>
      <c r="D234" s="496">
        <v>1674</v>
      </c>
      <c r="E234" s="493" t="s">
        <v>29</v>
      </c>
      <c r="F234" s="418" t="s">
        <v>77</v>
      </c>
      <c r="G234" s="486">
        <v>0</v>
      </c>
      <c r="H234" s="493" t="s">
        <v>29</v>
      </c>
      <c r="I234" s="418" t="s">
        <v>77</v>
      </c>
      <c r="J234" s="486">
        <v>0</v>
      </c>
      <c r="K234"/>
      <c r="L234"/>
      <c r="M234" s="490"/>
    </row>
    <row r="235" spans="1:15" s="491" customFormat="1" ht="45" x14ac:dyDescent="0.25">
      <c r="A235" s="492"/>
      <c r="B235" s="493" t="s">
        <v>29</v>
      </c>
      <c r="C235" s="418" t="s">
        <v>65</v>
      </c>
      <c r="D235" s="496">
        <v>2376</v>
      </c>
      <c r="E235" s="493" t="s">
        <v>29</v>
      </c>
      <c r="F235" s="418" t="s">
        <v>65</v>
      </c>
      <c r="G235" s="496">
        <v>2376</v>
      </c>
      <c r="H235" s="493" t="s">
        <v>29</v>
      </c>
      <c r="I235" s="418" t="s">
        <v>65</v>
      </c>
      <c r="J235" s="496">
        <v>2376</v>
      </c>
      <c r="K235"/>
      <c r="L235"/>
      <c r="M235" s="490"/>
    </row>
    <row r="236" spans="1:15" s="491" customFormat="1" x14ac:dyDescent="0.25">
      <c r="A236" s="492"/>
      <c r="B236" s="499" t="s">
        <v>67</v>
      </c>
      <c r="C236" s="500" t="s">
        <v>35</v>
      </c>
      <c r="D236" s="501">
        <f>ROUNDUP(SUM(D232:D235)*1.17,-1)</f>
        <v>13300</v>
      </c>
      <c r="E236" s="499" t="s">
        <v>67</v>
      </c>
      <c r="F236" s="500" t="s">
        <v>35</v>
      </c>
      <c r="G236" s="501">
        <f>ROUNDUP(SUM(G232:G235)*1.17,-1)</f>
        <v>11340</v>
      </c>
      <c r="H236" s="499" t="s">
        <v>67</v>
      </c>
      <c r="I236" s="500" t="s">
        <v>35</v>
      </c>
      <c r="J236" s="501">
        <f>ROUNDUP(SUM(J232:J235)*1.17,-1)</f>
        <v>11340</v>
      </c>
      <c r="K236"/>
      <c r="L236"/>
      <c r="M236" s="490"/>
    </row>
    <row r="237" spans="1:15" s="491" customFormat="1" x14ac:dyDescent="0.25">
      <c r="A237" s="492"/>
      <c r="B237" s="509"/>
      <c r="C237" s="418"/>
      <c r="D237" s="503"/>
      <c r="E237" s="509"/>
      <c r="F237" s="418"/>
      <c r="G237" s="503"/>
      <c r="H237" s="502"/>
      <c r="I237" s="418"/>
      <c r="J237" s="503"/>
      <c r="K237"/>
      <c r="L237"/>
      <c r="M237" s="490"/>
    </row>
    <row r="238" spans="1:15" s="528" customFormat="1" x14ac:dyDescent="0.25">
      <c r="A238" s="522"/>
      <c r="B238" s="523"/>
      <c r="C238" s="524"/>
      <c r="D238" s="525"/>
      <c r="E238" s="523"/>
      <c r="F238" s="524"/>
      <c r="G238" s="525"/>
      <c r="H238" s="526"/>
      <c r="I238" s="524"/>
      <c r="J238" s="525"/>
      <c r="K238"/>
      <c r="L238"/>
      <c r="M238" s="527"/>
    </row>
    <row r="239" spans="1:15" s="515" customFormat="1" ht="21" x14ac:dyDescent="0.25">
      <c r="A239" s="510" t="s">
        <v>2</v>
      </c>
      <c r="B239" s="511" t="s">
        <v>2</v>
      </c>
      <c r="C239" s="512"/>
      <c r="D239" s="513"/>
      <c r="E239" s="511" t="s">
        <v>2</v>
      </c>
      <c r="F239" s="512"/>
      <c r="G239" s="513"/>
      <c r="H239" s="511" t="s">
        <v>2</v>
      </c>
      <c r="I239" s="512"/>
      <c r="J239" s="513"/>
      <c r="K239"/>
      <c r="L239"/>
      <c r="M239" s="514"/>
    </row>
    <row r="240" spans="1:15" s="491" customFormat="1" ht="71.45" customHeight="1" x14ac:dyDescent="0.25">
      <c r="A240" s="487" t="s">
        <v>615</v>
      </c>
      <c r="B240" s="488" t="s">
        <v>622</v>
      </c>
      <c r="C240" s="419" t="s">
        <v>634</v>
      </c>
      <c r="D240" s="489"/>
      <c r="E240" s="488" t="s">
        <v>339</v>
      </c>
      <c r="F240" s="419" t="s">
        <v>632</v>
      </c>
      <c r="G240" s="489"/>
      <c r="H240" s="488" t="s">
        <v>340</v>
      </c>
      <c r="I240" s="419" t="s">
        <v>633</v>
      </c>
      <c r="J240" s="489"/>
      <c r="K240"/>
      <c r="L240"/>
      <c r="M240" s="490"/>
      <c r="O240" s="553">
        <f>(275-250)/250</f>
        <v>0.1</v>
      </c>
    </row>
    <row r="241" spans="1:13" s="491" customFormat="1" ht="30" x14ac:dyDescent="0.25">
      <c r="A241" s="492"/>
      <c r="B241" s="493" t="s">
        <v>27</v>
      </c>
      <c r="C241" s="418" t="s">
        <v>58</v>
      </c>
      <c r="D241" s="486">
        <f>300*C73</f>
        <v>330.99</v>
      </c>
      <c r="E241" s="493" t="s">
        <v>27</v>
      </c>
      <c r="F241" s="418" t="s">
        <v>58</v>
      </c>
      <c r="G241" s="486">
        <f>300*C73</f>
        <v>330.99</v>
      </c>
      <c r="H241" s="493" t="s">
        <v>27</v>
      </c>
      <c r="I241" s="418" t="s">
        <v>25</v>
      </c>
      <c r="J241" s="486">
        <f>J79</f>
        <v>99.296999999999997</v>
      </c>
      <c r="K241"/>
      <c r="L241"/>
      <c r="M241" s="490"/>
    </row>
    <row r="242" spans="1:13" s="491" customFormat="1" ht="30" x14ac:dyDescent="0.25">
      <c r="A242" s="492"/>
      <c r="B242" s="493" t="s">
        <v>28</v>
      </c>
      <c r="C242" s="418" t="s">
        <v>787</v>
      </c>
      <c r="D242" s="516">
        <v>2200</v>
      </c>
      <c r="E242" s="493" t="s">
        <v>28</v>
      </c>
      <c r="F242" s="418" t="s">
        <v>57</v>
      </c>
      <c r="G242" s="516">
        <f>1850*C73</f>
        <v>2041.1049999999998</v>
      </c>
      <c r="H242" s="493" t="s">
        <v>28</v>
      </c>
      <c r="I242" s="418" t="s">
        <v>788</v>
      </c>
      <c r="J242" s="486">
        <v>375</v>
      </c>
      <c r="K242"/>
      <c r="L242"/>
      <c r="M242" s="490"/>
    </row>
    <row r="243" spans="1:13" s="491" customFormat="1" x14ac:dyDescent="0.25">
      <c r="A243" s="492"/>
      <c r="B243" s="493" t="s">
        <v>29</v>
      </c>
      <c r="C243" s="418" t="s">
        <v>56</v>
      </c>
      <c r="D243" s="486">
        <f>50*C73</f>
        <v>55.164999999999999</v>
      </c>
      <c r="E243" s="493" t="s">
        <v>29</v>
      </c>
      <c r="F243" s="418" t="s">
        <v>56</v>
      </c>
      <c r="G243" s="486">
        <f>50*C73</f>
        <v>55.164999999999999</v>
      </c>
      <c r="H243" s="493" t="s">
        <v>29</v>
      </c>
      <c r="I243" s="418" t="s">
        <v>36</v>
      </c>
      <c r="J243" s="486">
        <v>210</v>
      </c>
      <c r="K243"/>
      <c r="L243"/>
      <c r="M243" s="490"/>
    </row>
    <row r="244" spans="1:13" s="491" customFormat="1" ht="30" x14ac:dyDescent="0.25">
      <c r="A244" s="492"/>
      <c r="B244" s="493" t="s">
        <v>30</v>
      </c>
      <c r="C244" s="418" t="s">
        <v>820</v>
      </c>
      <c r="D244" s="486">
        <v>1700</v>
      </c>
      <c r="E244" s="493" t="s">
        <v>30</v>
      </c>
      <c r="F244" s="418" t="s">
        <v>820</v>
      </c>
      <c r="G244" s="486">
        <v>1700</v>
      </c>
      <c r="H244" s="493" t="s">
        <v>30</v>
      </c>
      <c r="I244" s="418" t="s">
        <v>33</v>
      </c>
      <c r="J244" s="486">
        <f>J82</f>
        <v>77.230999999999995</v>
      </c>
      <c r="K244"/>
      <c r="L244"/>
      <c r="M244" s="490"/>
    </row>
    <row r="245" spans="1:13" s="491" customFormat="1" x14ac:dyDescent="0.25">
      <c r="A245" s="492"/>
      <c r="B245" s="493" t="s">
        <v>31</v>
      </c>
      <c r="C245" s="418" t="s">
        <v>821</v>
      </c>
      <c r="D245" s="486">
        <v>0</v>
      </c>
      <c r="E245" s="493" t="s">
        <v>31</v>
      </c>
      <c r="F245" s="418" t="s">
        <v>821</v>
      </c>
      <c r="G245" s="486">
        <v>0</v>
      </c>
      <c r="H245" s="493" t="s">
        <v>31</v>
      </c>
      <c r="I245" s="418" t="s">
        <v>38</v>
      </c>
      <c r="J245" s="486">
        <f>J83</f>
        <v>99.296999999999997</v>
      </c>
      <c r="K245"/>
      <c r="L245"/>
      <c r="M245" s="490"/>
    </row>
    <row r="246" spans="1:13" s="491" customFormat="1" x14ac:dyDescent="0.25">
      <c r="A246" s="492"/>
      <c r="B246" s="493"/>
      <c r="C246" s="418"/>
      <c r="D246" s="486"/>
      <c r="E246" s="493"/>
      <c r="F246" s="418"/>
      <c r="G246" s="486"/>
      <c r="H246" s="493" t="s">
        <v>32</v>
      </c>
      <c r="I246" s="418" t="s">
        <v>40</v>
      </c>
      <c r="J246" s="486">
        <f>J84</f>
        <v>419.25399999999996</v>
      </c>
      <c r="K246"/>
      <c r="L246"/>
      <c r="M246" s="490"/>
    </row>
    <row r="247" spans="1:13" s="491" customFormat="1" ht="30" x14ac:dyDescent="0.25">
      <c r="A247" s="492"/>
      <c r="B247" s="493"/>
      <c r="C247" s="418"/>
      <c r="D247" s="486"/>
      <c r="E247" s="493"/>
      <c r="F247" s="418"/>
      <c r="G247" s="486"/>
      <c r="H247" s="493" t="s">
        <v>37</v>
      </c>
      <c r="I247" s="418" t="s">
        <v>820</v>
      </c>
      <c r="J247" s="486">
        <v>1700</v>
      </c>
      <c r="K247"/>
      <c r="L247"/>
      <c r="M247" s="490"/>
    </row>
    <row r="248" spans="1:13" s="491" customFormat="1" x14ac:dyDescent="0.25">
      <c r="A248" s="492"/>
      <c r="B248" s="493"/>
      <c r="C248" s="418"/>
      <c r="D248" s="486"/>
      <c r="E248" s="493"/>
      <c r="F248" s="418"/>
      <c r="G248" s="486"/>
      <c r="H248" s="493" t="s">
        <v>42</v>
      </c>
      <c r="I248" s="418" t="s">
        <v>821</v>
      </c>
      <c r="J248" s="486">
        <v>0</v>
      </c>
      <c r="K248"/>
      <c r="L248"/>
      <c r="M248" s="490"/>
    </row>
    <row r="249" spans="1:13" s="491" customFormat="1" ht="12" customHeight="1" x14ac:dyDescent="0.25">
      <c r="A249" s="492"/>
      <c r="B249" s="493"/>
      <c r="C249" s="418"/>
      <c r="D249" s="486"/>
      <c r="E249" s="493"/>
      <c r="F249" s="418"/>
      <c r="G249" s="486"/>
      <c r="H249" s="493" t="s">
        <v>46</v>
      </c>
      <c r="I249" s="418" t="s">
        <v>34</v>
      </c>
      <c r="J249" s="486">
        <f>J87</f>
        <v>110.33</v>
      </c>
      <c r="K249"/>
      <c r="L249"/>
      <c r="M249" s="490"/>
    </row>
    <row r="250" spans="1:13" s="491" customFormat="1" x14ac:dyDescent="0.25">
      <c r="A250" s="492"/>
      <c r="B250" s="499" t="s">
        <v>67</v>
      </c>
      <c r="C250" s="500" t="s">
        <v>35</v>
      </c>
      <c r="D250" s="501">
        <f>ROUNDUP(SUM(D241:D249)*1.17,-1)</f>
        <v>5020</v>
      </c>
      <c r="E250" s="499" t="s">
        <v>67</v>
      </c>
      <c r="F250" s="500" t="s">
        <v>35</v>
      </c>
      <c r="G250" s="501">
        <f>ROUNDUP(SUM(G241:G249)*1.17,-1)</f>
        <v>4830</v>
      </c>
      <c r="H250" s="499" t="s">
        <v>67</v>
      </c>
      <c r="I250" s="500" t="s">
        <v>35</v>
      </c>
      <c r="J250" s="501">
        <f>ROUNDUP(SUM(J241:J249)*1.17,-1)</f>
        <v>3620</v>
      </c>
      <c r="K250"/>
      <c r="L250"/>
      <c r="M250" s="490"/>
    </row>
    <row r="251" spans="1:13" s="491" customFormat="1" x14ac:dyDescent="0.25">
      <c r="A251" s="492"/>
      <c r="B251" s="509"/>
      <c r="C251" s="418"/>
      <c r="D251" s="503"/>
      <c r="E251" s="509"/>
      <c r="F251" s="418"/>
      <c r="G251" s="503"/>
      <c r="H251" s="502"/>
      <c r="I251" s="418"/>
      <c r="J251" s="503"/>
      <c r="K251"/>
      <c r="L251"/>
      <c r="M251" s="490"/>
    </row>
    <row r="252" spans="1:13" s="491" customFormat="1" ht="30" x14ac:dyDescent="0.25">
      <c r="A252" s="492"/>
      <c r="B252" s="519"/>
      <c r="C252" s="418" t="s">
        <v>68</v>
      </c>
      <c r="D252" s="486">
        <v>1310</v>
      </c>
      <c r="E252" s="519"/>
      <c r="F252" s="418" t="s">
        <v>68</v>
      </c>
      <c r="G252" s="496">
        <f>1105*C73</f>
        <v>1219.1464999999998</v>
      </c>
      <c r="H252" s="502"/>
      <c r="I252" s="418" t="s">
        <v>68</v>
      </c>
      <c r="J252" s="618">
        <v>562</v>
      </c>
      <c r="K252"/>
      <c r="L252"/>
      <c r="M252" s="490"/>
    </row>
    <row r="253" spans="1:13" s="491" customFormat="1" ht="30" x14ac:dyDescent="0.25">
      <c r="A253" s="492"/>
      <c r="B253" s="519"/>
      <c r="C253" s="418" t="s">
        <v>66</v>
      </c>
      <c r="D253" s="486">
        <v>2240</v>
      </c>
      <c r="E253" s="519"/>
      <c r="F253" s="418" t="s">
        <v>66</v>
      </c>
      <c r="G253" s="496">
        <f>1885*C73</f>
        <v>2079.7204999999999</v>
      </c>
      <c r="H253" s="502"/>
      <c r="I253" s="418" t="s">
        <v>66</v>
      </c>
      <c r="J253" s="618">
        <v>842</v>
      </c>
      <c r="K253"/>
      <c r="L253"/>
      <c r="M253" s="490"/>
    </row>
    <row r="254" spans="1:13" s="491" customFormat="1" x14ac:dyDescent="0.25">
      <c r="A254" s="492"/>
      <c r="B254" s="509"/>
      <c r="C254" s="418"/>
      <c r="D254" s="503"/>
      <c r="E254" s="509"/>
      <c r="F254" s="418"/>
      <c r="G254" s="503"/>
      <c r="H254" s="502"/>
      <c r="I254" s="418"/>
      <c r="J254" s="503"/>
      <c r="K254"/>
      <c r="L254"/>
      <c r="M254" s="490"/>
    </row>
    <row r="255" spans="1:13" s="491" customFormat="1" ht="71.45" customHeight="1" x14ac:dyDescent="0.25">
      <c r="A255" s="487" t="s">
        <v>615</v>
      </c>
      <c r="B255" s="488" t="s">
        <v>622</v>
      </c>
      <c r="C255" s="419" t="s">
        <v>634</v>
      </c>
      <c r="D255" s="489"/>
      <c r="E255" s="488" t="s">
        <v>339</v>
      </c>
      <c r="F255" s="419" t="s">
        <v>632</v>
      </c>
      <c r="G255" s="489"/>
      <c r="H255" s="488" t="s">
        <v>340</v>
      </c>
      <c r="I255" s="419" t="s">
        <v>633</v>
      </c>
      <c r="J255" s="489"/>
      <c r="K255"/>
      <c r="L255"/>
      <c r="M255" s="490"/>
    </row>
    <row r="256" spans="1:13" s="491" customFormat="1" ht="30" x14ac:dyDescent="0.25">
      <c r="A256" s="492" t="s">
        <v>987</v>
      </c>
      <c r="B256" s="493" t="s">
        <v>27</v>
      </c>
      <c r="C256" s="418" t="s">
        <v>58</v>
      </c>
      <c r="D256" s="486">
        <f>D241</f>
        <v>330.99</v>
      </c>
      <c r="E256" s="493" t="s">
        <v>27</v>
      </c>
      <c r="F256" s="418" t="s">
        <v>58</v>
      </c>
      <c r="G256" s="486">
        <f>G241</f>
        <v>330.99</v>
      </c>
      <c r="H256" s="493" t="s">
        <v>27</v>
      </c>
      <c r="I256" s="418" t="s">
        <v>25</v>
      </c>
      <c r="J256" s="486">
        <v>0</v>
      </c>
      <c r="K256"/>
      <c r="L256"/>
      <c r="M256" s="490"/>
    </row>
    <row r="257" spans="1:13" s="491" customFormat="1" ht="30" x14ac:dyDescent="0.25">
      <c r="A257" s="492" t="s">
        <v>988</v>
      </c>
      <c r="B257" s="493" t="s">
        <v>28</v>
      </c>
      <c r="C257" s="418" t="s">
        <v>787</v>
      </c>
      <c r="D257" s="486">
        <f>D242-D261-D262</f>
        <v>800</v>
      </c>
      <c r="E257" s="493" t="s">
        <v>28</v>
      </c>
      <c r="F257" s="418" t="s">
        <v>57</v>
      </c>
      <c r="G257" s="486">
        <f>G242-G261-G262</f>
        <v>641.10499999999979</v>
      </c>
      <c r="H257" s="493" t="s">
        <v>28</v>
      </c>
      <c r="I257" s="418" t="s">
        <v>788</v>
      </c>
      <c r="J257" s="486">
        <f t="shared" ref="J257:J263" si="16">J242</f>
        <v>375</v>
      </c>
      <c r="K257"/>
      <c r="L257"/>
      <c r="M257" s="490"/>
    </row>
    <row r="258" spans="1:13" s="491" customFormat="1" x14ac:dyDescent="0.25">
      <c r="A258" s="492" t="s">
        <v>989</v>
      </c>
      <c r="B258" s="493" t="s">
        <v>29</v>
      </c>
      <c r="C258" s="418" t="s">
        <v>56</v>
      </c>
      <c r="D258" s="486">
        <f t="shared" ref="D258:D260" si="17">D243</f>
        <v>55.164999999999999</v>
      </c>
      <c r="E258" s="493" t="s">
        <v>29</v>
      </c>
      <c r="F258" s="418" t="s">
        <v>56</v>
      </c>
      <c r="G258" s="486">
        <f t="shared" ref="G258:G260" si="18">G243</f>
        <v>55.164999999999999</v>
      </c>
      <c r="H258" s="493" t="s">
        <v>29</v>
      </c>
      <c r="I258" s="418" t="s">
        <v>36</v>
      </c>
      <c r="J258" s="486">
        <f t="shared" si="16"/>
        <v>210</v>
      </c>
      <c r="K258"/>
      <c r="L258"/>
      <c r="M258" s="490"/>
    </row>
    <row r="259" spans="1:13" s="491" customFormat="1" ht="30" x14ac:dyDescent="0.25">
      <c r="A259" s="492" t="s">
        <v>990</v>
      </c>
      <c r="B259" s="493" t="s">
        <v>30</v>
      </c>
      <c r="C259" s="418" t="s">
        <v>820</v>
      </c>
      <c r="D259" s="516">
        <f>D244</f>
        <v>1700</v>
      </c>
      <c r="E259" s="493" t="s">
        <v>30</v>
      </c>
      <c r="F259" s="418" t="s">
        <v>820</v>
      </c>
      <c r="G259" s="516">
        <f>G244</f>
        <v>1700</v>
      </c>
      <c r="H259" s="493" t="s">
        <v>30</v>
      </c>
      <c r="I259" s="418" t="s">
        <v>33</v>
      </c>
      <c r="J259" s="486">
        <v>0</v>
      </c>
      <c r="K259"/>
      <c r="L259"/>
      <c r="M259" s="490"/>
    </row>
    <row r="260" spans="1:13" s="491" customFormat="1" x14ac:dyDescent="0.25">
      <c r="A260" s="492" t="s">
        <v>991</v>
      </c>
      <c r="B260" s="493" t="s">
        <v>31</v>
      </c>
      <c r="C260" s="418" t="s">
        <v>821</v>
      </c>
      <c r="D260" s="486">
        <f t="shared" si="17"/>
        <v>0</v>
      </c>
      <c r="E260" s="493" t="s">
        <v>31</v>
      </c>
      <c r="F260" s="418" t="s">
        <v>821</v>
      </c>
      <c r="G260" s="486">
        <f t="shared" si="18"/>
        <v>0</v>
      </c>
      <c r="H260" s="493" t="s">
        <v>31</v>
      </c>
      <c r="I260" s="418" t="s">
        <v>38</v>
      </c>
      <c r="J260" s="486">
        <v>0</v>
      </c>
      <c r="K260"/>
      <c r="L260"/>
      <c r="M260" s="490"/>
    </row>
    <row r="261" spans="1:13" s="491" customFormat="1" ht="45" x14ac:dyDescent="0.25">
      <c r="A261" s="492" t="s">
        <v>992</v>
      </c>
      <c r="B261" s="493" t="s">
        <v>32</v>
      </c>
      <c r="C261" s="524" t="s">
        <v>1020</v>
      </c>
      <c r="D261" s="516">
        <v>1100</v>
      </c>
      <c r="E261" s="631" t="s">
        <v>32</v>
      </c>
      <c r="F261" s="524" t="str">
        <f>C261</f>
        <v>Banke ned gammel puss, utbedring underlag, ny puss av fasaden</v>
      </c>
      <c r="G261" s="516">
        <f>D261</f>
        <v>1100</v>
      </c>
      <c r="H261" s="493" t="s">
        <v>32</v>
      </c>
      <c r="I261" s="418" t="s">
        <v>40</v>
      </c>
      <c r="J261" s="486">
        <v>0</v>
      </c>
      <c r="K261"/>
      <c r="L261"/>
      <c r="M261" s="490"/>
    </row>
    <row r="262" spans="1:13" s="491" customFormat="1" ht="30" x14ac:dyDescent="0.25">
      <c r="A262" s="492" t="s">
        <v>994</v>
      </c>
      <c r="B262" s="493" t="s">
        <v>37</v>
      </c>
      <c r="C262" s="524" t="s">
        <v>997</v>
      </c>
      <c r="D262" s="516">
        <f>D187</f>
        <v>300</v>
      </c>
      <c r="E262" s="631" t="s">
        <v>37</v>
      </c>
      <c r="F262" s="524" t="str">
        <f>C262</f>
        <v>Maling</v>
      </c>
      <c r="G262" s="632">
        <f>D262</f>
        <v>300</v>
      </c>
      <c r="H262" s="493" t="s">
        <v>37</v>
      </c>
      <c r="I262" s="418" t="s">
        <v>820</v>
      </c>
      <c r="J262" s="516">
        <f>J247</f>
        <v>1700</v>
      </c>
      <c r="K262"/>
      <c r="L262"/>
      <c r="M262" s="490"/>
    </row>
    <row r="263" spans="1:13" s="491" customFormat="1" x14ac:dyDescent="0.25">
      <c r="A263" s="492" t="s">
        <v>995</v>
      </c>
      <c r="B263" s="493"/>
      <c r="C263" s="418"/>
      <c r="D263" s="486"/>
      <c r="E263" s="493"/>
      <c r="F263" s="418"/>
      <c r="G263" s="486"/>
      <c r="H263" s="493" t="s">
        <v>42</v>
      </c>
      <c r="I263" s="418" t="s">
        <v>821</v>
      </c>
      <c r="J263" s="486">
        <f t="shared" si="16"/>
        <v>0</v>
      </c>
      <c r="K263"/>
      <c r="L263"/>
      <c r="M263" s="490"/>
    </row>
    <row r="264" spans="1:13" s="491" customFormat="1" ht="12" customHeight="1" x14ac:dyDescent="0.25">
      <c r="A264" s="492" t="s">
        <v>996</v>
      </c>
      <c r="B264" s="493"/>
      <c r="C264" s="418"/>
      <c r="D264" s="486"/>
      <c r="E264" s="493"/>
      <c r="F264" s="418"/>
      <c r="G264" s="486"/>
      <c r="H264" s="493" t="s">
        <v>46</v>
      </c>
      <c r="I264" s="418" t="s">
        <v>34</v>
      </c>
      <c r="J264" s="486">
        <v>0</v>
      </c>
      <c r="K264"/>
      <c r="L264"/>
      <c r="M264" s="490"/>
    </row>
    <row r="265" spans="1:13" s="491" customFormat="1" x14ac:dyDescent="0.25">
      <c r="A265" s="492"/>
      <c r="B265" s="499" t="s">
        <v>1000</v>
      </c>
      <c r="C265" s="500" t="s">
        <v>35</v>
      </c>
      <c r="D265" s="501">
        <f>ROUNDUP(SUM(D256:D260),-1)</f>
        <v>2890</v>
      </c>
      <c r="E265" s="499" t="s">
        <v>1000</v>
      </c>
      <c r="F265" s="500" t="s">
        <v>35</v>
      </c>
      <c r="G265" s="501">
        <f>ROUNDUP(SUM(G256:G260),-1)</f>
        <v>2730</v>
      </c>
      <c r="H265" s="499" t="s">
        <v>1000</v>
      </c>
      <c r="I265" s="500" t="s">
        <v>35</v>
      </c>
      <c r="J265" s="501">
        <f>ROUNDUP(SUM(J256:J264),-1)</f>
        <v>2290</v>
      </c>
      <c r="K265"/>
      <c r="L265"/>
      <c r="M265" s="490"/>
    </row>
    <row r="266" spans="1:13" s="491" customFormat="1" x14ac:dyDescent="0.25">
      <c r="A266" s="492"/>
      <c r="B266" s="509"/>
      <c r="C266" s="418"/>
      <c r="D266" s="503"/>
      <c r="E266" s="509"/>
      <c r="F266" s="418"/>
      <c r="G266" s="503"/>
      <c r="H266" s="502"/>
      <c r="I266" s="418"/>
      <c r="J266" s="503"/>
      <c r="K266"/>
      <c r="L266"/>
      <c r="M266" s="490"/>
    </row>
    <row r="267" spans="1:13" s="491" customFormat="1" ht="30" x14ac:dyDescent="0.25">
      <c r="A267" s="492"/>
      <c r="B267" s="519"/>
      <c r="C267" s="418" t="s">
        <v>68</v>
      </c>
      <c r="D267" s="615">
        <v>0</v>
      </c>
      <c r="E267" s="519"/>
      <c r="F267" s="418" t="s">
        <v>68</v>
      </c>
      <c r="G267" s="615">
        <v>0</v>
      </c>
      <c r="H267" s="502"/>
      <c r="I267" s="418" t="s">
        <v>68</v>
      </c>
      <c r="J267" s="615">
        <v>0</v>
      </c>
      <c r="K267"/>
      <c r="L267"/>
      <c r="M267" s="490"/>
    </row>
    <row r="268" spans="1:13" s="491" customFormat="1" ht="30" x14ac:dyDescent="0.25">
      <c r="A268" s="492"/>
      <c r="B268" s="519"/>
      <c r="C268" s="418" t="s">
        <v>66</v>
      </c>
      <c r="D268" s="615">
        <v>0</v>
      </c>
      <c r="E268" s="519"/>
      <c r="F268" s="418" t="s">
        <v>66</v>
      </c>
      <c r="G268" s="615">
        <v>0</v>
      </c>
      <c r="H268" s="502"/>
      <c r="I268" s="418" t="s">
        <v>66</v>
      </c>
      <c r="J268" s="615">
        <v>0</v>
      </c>
      <c r="K268"/>
      <c r="L268"/>
      <c r="M268" s="490"/>
    </row>
    <row r="269" spans="1:13" s="491" customFormat="1" x14ac:dyDescent="0.25">
      <c r="A269" s="492"/>
      <c r="B269" s="509"/>
      <c r="C269" s="418"/>
      <c r="D269" s="503"/>
      <c r="E269" s="509"/>
      <c r="F269" s="418"/>
      <c r="G269" s="503"/>
      <c r="H269" s="502"/>
      <c r="I269" s="418"/>
      <c r="J269" s="503"/>
      <c r="K269"/>
      <c r="L269"/>
      <c r="M269" s="490"/>
    </row>
    <row r="270" spans="1:13" s="491" customFormat="1" ht="67.150000000000006" customHeight="1" x14ac:dyDescent="0.25">
      <c r="A270" s="487" t="s">
        <v>616</v>
      </c>
      <c r="B270" s="488" t="s">
        <v>1008</v>
      </c>
      <c r="C270" s="419"/>
      <c r="D270" s="489"/>
      <c r="E270" s="488" t="s">
        <v>341</v>
      </c>
      <c r="F270" s="419" t="s">
        <v>637</v>
      </c>
      <c r="G270" s="489"/>
      <c r="H270" s="488" t="s">
        <v>342</v>
      </c>
      <c r="I270" s="419" t="s">
        <v>635</v>
      </c>
      <c r="J270" s="489"/>
      <c r="K270"/>
      <c r="L270"/>
      <c r="M270" s="490"/>
    </row>
    <row r="271" spans="1:13" s="491" customFormat="1" ht="30" x14ac:dyDescent="0.25">
      <c r="A271" s="492"/>
      <c r="B271" s="493"/>
      <c r="C271" s="418"/>
      <c r="D271" s="529"/>
      <c r="E271" s="493" t="s">
        <v>27</v>
      </c>
      <c r="F271" s="418" t="s">
        <v>59</v>
      </c>
      <c r="G271" s="496">
        <f>110*C73</f>
        <v>121.363</v>
      </c>
      <c r="H271" s="493" t="s">
        <v>27</v>
      </c>
      <c r="I271" s="418" t="s">
        <v>59</v>
      </c>
      <c r="J271" s="486">
        <f>G271</f>
        <v>121.363</v>
      </c>
      <c r="K271"/>
      <c r="L271"/>
      <c r="M271" s="490"/>
    </row>
    <row r="272" spans="1:13" s="491" customFormat="1" ht="30" x14ac:dyDescent="0.25">
      <c r="A272" s="492"/>
      <c r="B272" s="493"/>
      <c r="C272" s="418"/>
      <c r="D272" s="496"/>
      <c r="E272" s="493" t="s">
        <v>28</v>
      </c>
      <c r="F272" s="418" t="s">
        <v>790</v>
      </c>
      <c r="G272" s="496">
        <v>260</v>
      </c>
      <c r="H272" s="493" t="s">
        <v>28</v>
      </c>
      <c r="I272" s="418" t="s">
        <v>791</v>
      </c>
      <c r="J272" s="486">
        <v>150</v>
      </c>
      <c r="K272"/>
      <c r="L272"/>
      <c r="M272" s="490"/>
    </row>
    <row r="273" spans="1:13" s="491" customFormat="1" x14ac:dyDescent="0.25">
      <c r="A273" s="492"/>
      <c r="B273" s="493"/>
      <c r="C273" s="418"/>
      <c r="D273" s="496"/>
      <c r="E273" s="493" t="s">
        <v>29</v>
      </c>
      <c r="F273" s="418" t="s">
        <v>60</v>
      </c>
      <c r="G273" s="496">
        <f>500*C73</f>
        <v>551.65</v>
      </c>
      <c r="H273" s="493" t="s">
        <v>29</v>
      </c>
      <c r="I273" s="418" t="s">
        <v>60</v>
      </c>
      <c r="J273" s="486">
        <f t="shared" ref="J273:J274" si="19">G273</f>
        <v>551.65</v>
      </c>
      <c r="K273"/>
      <c r="L273"/>
      <c r="M273" s="490"/>
    </row>
    <row r="274" spans="1:13" s="491" customFormat="1" x14ac:dyDescent="0.25">
      <c r="A274" s="492"/>
      <c r="B274" s="493"/>
      <c r="C274" s="418"/>
      <c r="D274" s="496"/>
      <c r="E274" s="493" t="s">
        <v>30</v>
      </c>
      <c r="F274" s="418" t="s">
        <v>61</v>
      </c>
      <c r="G274" s="496">
        <f>100*C73</f>
        <v>110.33</v>
      </c>
      <c r="H274" s="493" t="s">
        <v>30</v>
      </c>
      <c r="I274" s="418" t="s">
        <v>61</v>
      </c>
      <c r="J274" s="486">
        <f t="shared" si="19"/>
        <v>110.33</v>
      </c>
      <c r="K274"/>
      <c r="L274"/>
      <c r="M274" s="490"/>
    </row>
    <row r="275" spans="1:13" s="491" customFormat="1" x14ac:dyDescent="0.25">
      <c r="A275" s="492"/>
      <c r="B275" s="493"/>
      <c r="C275" s="418"/>
      <c r="D275" s="496"/>
      <c r="E275" s="493"/>
      <c r="F275" s="418"/>
      <c r="G275" s="496"/>
      <c r="H275" s="493"/>
      <c r="I275" s="418"/>
      <c r="J275" s="496"/>
      <c r="K275"/>
      <c r="L275"/>
      <c r="M275" s="490"/>
    </row>
    <row r="276" spans="1:13" s="491" customFormat="1" x14ac:dyDescent="0.25">
      <c r="A276" s="492"/>
      <c r="B276" s="493"/>
      <c r="C276" s="418"/>
      <c r="D276" s="496"/>
      <c r="E276" s="493"/>
      <c r="F276" s="418"/>
      <c r="G276" s="496"/>
      <c r="H276" s="493"/>
      <c r="I276" s="418"/>
      <c r="J276" s="496"/>
      <c r="K276"/>
      <c r="L276"/>
      <c r="M276" s="490"/>
    </row>
    <row r="277" spans="1:13" s="491" customFormat="1" x14ac:dyDescent="0.25">
      <c r="A277" s="492"/>
      <c r="B277" s="499"/>
      <c r="C277" s="500"/>
      <c r="D277" s="501"/>
      <c r="E277" s="499" t="s">
        <v>67</v>
      </c>
      <c r="F277" s="500" t="s">
        <v>35</v>
      </c>
      <c r="G277" s="501">
        <f>ROUNDUP(SUM(G271:G276)*1.17,-1)</f>
        <v>1230</v>
      </c>
      <c r="H277" s="499" t="s">
        <v>67</v>
      </c>
      <c r="I277" s="500" t="s">
        <v>35</v>
      </c>
      <c r="J277" s="501">
        <f>ROUNDUP(SUM(J271:J276)*1.17,-1)</f>
        <v>1100</v>
      </c>
      <c r="K277"/>
      <c r="L277"/>
      <c r="M277" s="490"/>
    </row>
    <row r="278" spans="1:13" s="491" customFormat="1" x14ac:dyDescent="0.25">
      <c r="A278" s="492"/>
      <c r="B278" s="509"/>
      <c r="C278" s="418"/>
      <c r="D278" s="503"/>
      <c r="E278" s="509"/>
      <c r="F278" s="418"/>
      <c r="G278" s="503"/>
      <c r="H278" s="502"/>
      <c r="I278" s="418"/>
      <c r="J278" s="503"/>
      <c r="K278"/>
      <c r="L278"/>
      <c r="M278" s="490"/>
    </row>
    <row r="279" spans="1:13" s="491" customFormat="1" ht="67.150000000000006" customHeight="1" x14ac:dyDescent="0.25">
      <c r="A279" s="487" t="s">
        <v>1011</v>
      </c>
      <c r="B279" s="488" t="s">
        <v>649</v>
      </c>
      <c r="C279" s="419" t="s">
        <v>636</v>
      </c>
      <c r="D279" s="489"/>
      <c r="E279" s="488" t="s">
        <v>341</v>
      </c>
      <c r="F279" s="419" t="s">
        <v>637</v>
      </c>
      <c r="G279" s="489"/>
      <c r="H279" s="488" t="s">
        <v>342</v>
      </c>
      <c r="I279" s="419" t="s">
        <v>635</v>
      </c>
      <c r="J279" s="489"/>
      <c r="K279"/>
      <c r="L279"/>
      <c r="M279" s="490"/>
    </row>
    <row r="280" spans="1:13" s="491" customFormat="1" ht="30" x14ac:dyDescent="0.25">
      <c r="A280" s="492" t="s">
        <v>987</v>
      </c>
      <c r="B280" s="493" t="s">
        <v>27</v>
      </c>
      <c r="C280" s="418" t="s">
        <v>41</v>
      </c>
      <c r="D280" s="529">
        <v>140</v>
      </c>
      <c r="E280" s="493" t="s">
        <v>27</v>
      </c>
      <c r="F280" s="418" t="s">
        <v>59</v>
      </c>
      <c r="G280" s="496">
        <v>0</v>
      </c>
      <c r="H280" s="493" t="s">
        <v>27</v>
      </c>
      <c r="I280" s="418" t="s">
        <v>59</v>
      </c>
      <c r="J280" s="486">
        <v>0</v>
      </c>
      <c r="K280"/>
      <c r="L280"/>
      <c r="M280" s="490"/>
    </row>
    <row r="281" spans="1:13" s="491" customFormat="1" ht="30" x14ac:dyDescent="0.25">
      <c r="A281" s="492" t="s">
        <v>1010</v>
      </c>
      <c r="B281" s="493" t="s">
        <v>28</v>
      </c>
      <c r="C281" s="418" t="s">
        <v>789</v>
      </c>
      <c r="D281" s="496">
        <v>260</v>
      </c>
      <c r="E281" s="493" t="s">
        <v>28</v>
      </c>
      <c r="F281" s="418" t="s">
        <v>790</v>
      </c>
      <c r="G281" s="496">
        <f>G272</f>
        <v>260</v>
      </c>
      <c r="H281" s="493" t="s">
        <v>28</v>
      </c>
      <c r="I281" s="418" t="s">
        <v>791</v>
      </c>
      <c r="J281" s="486">
        <f>J272</f>
        <v>150</v>
      </c>
      <c r="K281"/>
      <c r="L281"/>
      <c r="M281" s="490"/>
    </row>
    <row r="282" spans="1:13" s="491" customFormat="1" x14ac:dyDescent="0.25">
      <c r="A282" s="492"/>
      <c r="B282" s="493" t="s">
        <v>29</v>
      </c>
      <c r="C282" s="418" t="s">
        <v>47</v>
      </c>
      <c r="D282" s="496">
        <v>100</v>
      </c>
      <c r="E282" s="493" t="s">
        <v>29</v>
      </c>
      <c r="F282" s="418" t="s">
        <v>60</v>
      </c>
      <c r="G282" s="496">
        <v>0</v>
      </c>
      <c r="H282" s="493" t="s">
        <v>29</v>
      </c>
      <c r="I282" s="418" t="s">
        <v>60</v>
      </c>
      <c r="J282" s="486">
        <v>0</v>
      </c>
      <c r="K282"/>
      <c r="L282"/>
      <c r="M282" s="490"/>
    </row>
    <row r="283" spans="1:13" s="491" customFormat="1" x14ac:dyDescent="0.25">
      <c r="A283" s="492"/>
      <c r="B283" s="493" t="s">
        <v>30</v>
      </c>
      <c r="C283" s="418"/>
      <c r="D283" s="496"/>
      <c r="E283" s="493" t="s">
        <v>30</v>
      </c>
      <c r="F283" s="418" t="s">
        <v>61</v>
      </c>
      <c r="G283" s="496">
        <v>0</v>
      </c>
      <c r="H283" s="493" t="s">
        <v>30</v>
      </c>
      <c r="I283" s="418" t="s">
        <v>61</v>
      </c>
      <c r="J283" s="486">
        <v>0</v>
      </c>
      <c r="K283"/>
      <c r="L283"/>
      <c r="M283" s="490"/>
    </row>
    <row r="284" spans="1:13" s="491" customFormat="1" x14ac:dyDescent="0.25">
      <c r="A284" s="492"/>
      <c r="B284" s="493"/>
      <c r="C284" s="418"/>
      <c r="D284" s="496"/>
      <c r="E284" s="493"/>
      <c r="F284" s="418"/>
      <c r="G284" s="496"/>
      <c r="H284" s="493"/>
      <c r="I284" s="418"/>
      <c r="J284" s="496"/>
      <c r="K284"/>
      <c r="L284"/>
      <c r="M284" s="490"/>
    </row>
    <row r="285" spans="1:13" s="491" customFormat="1" x14ac:dyDescent="0.25">
      <c r="A285" s="492"/>
      <c r="B285" s="493"/>
      <c r="C285" s="418"/>
      <c r="D285" s="496"/>
      <c r="E285" s="493"/>
      <c r="F285" s="418"/>
      <c r="G285" s="496"/>
      <c r="H285" s="493"/>
      <c r="I285" s="418"/>
      <c r="J285" s="496"/>
      <c r="K285"/>
      <c r="L285"/>
      <c r="M285" s="490"/>
    </row>
    <row r="286" spans="1:13" s="491" customFormat="1" x14ac:dyDescent="0.25">
      <c r="A286" s="492"/>
      <c r="B286" s="499" t="s">
        <v>67</v>
      </c>
      <c r="C286" s="500" t="s">
        <v>35</v>
      </c>
      <c r="D286" s="501">
        <f>ROUNDUP(SUM(D280:D285)*1.17,-1)</f>
        <v>590</v>
      </c>
      <c r="E286" s="499" t="s">
        <v>67</v>
      </c>
      <c r="F286" s="500" t="s">
        <v>35</v>
      </c>
      <c r="G286" s="501">
        <f>ROUNDUP(SUM(G280:G285)*1.17,-1)</f>
        <v>310</v>
      </c>
      <c r="H286" s="499" t="s">
        <v>67</v>
      </c>
      <c r="I286" s="500" t="s">
        <v>35</v>
      </c>
      <c r="J286" s="501">
        <f>ROUNDUP(SUM(J280:J285)*1.17,-1)</f>
        <v>180</v>
      </c>
      <c r="K286"/>
      <c r="L286"/>
      <c r="M286" s="490"/>
    </row>
    <row r="287" spans="1:13" s="491" customFormat="1" x14ac:dyDescent="0.25">
      <c r="A287" s="492"/>
      <c r="B287" s="509"/>
      <c r="C287" s="418"/>
      <c r="D287" s="503"/>
      <c r="E287" s="509"/>
      <c r="F287" s="418"/>
      <c r="G287" s="503"/>
      <c r="H287" s="502"/>
      <c r="I287" s="418"/>
      <c r="J287" s="503"/>
      <c r="K287"/>
      <c r="L287"/>
      <c r="M287" s="490"/>
    </row>
    <row r="288" spans="1:13" s="491" customFormat="1" ht="99" customHeight="1" x14ac:dyDescent="0.25">
      <c r="A288" s="487" t="s">
        <v>617</v>
      </c>
      <c r="B288" s="488" t="s">
        <v>673</v>
      </c>
      <c r="C288" s="419" t="s">
        <v>674</v>
      </c>
      <c r="D288" s="489"/>
      <c r="E288" s="488" t="s">
        <v>336</v>
      </c>
      <c r="F288" s="419" t="s">
        <v>642</v>
      </c>
      <c r="G288" s="505"/>
      <c r="H288" s="488" t="s">
        <v>336</v>
      </c>
      <c r="I288" s="419" t="s">
        <v>642</v>
      </c>
      <c r="J288" s="505"/>
      <c r="K288"/>
      <c r="L288"/>
      <c r="M288" s="490"/>
    </row>
    <row r="289" spans="1:13" s="491" customFormat="1" ht="30" x14ac:dyDescent="0.25">
      <c r="A289" s="492"/>
      <c r="B289" s="493" t="s">
        <v>27</v>
      </c>
      <c r="C289" s="418" t="s">
        <v>770</v>
      </c>
      <c r="D289" s="506">
        <v>115</v>
      </c>
      <c r="E289" s="493" t="s">
        <v>27</v>
      </c>
      <c r="F289" s="418" t="s">
        <v>51</v>
      </c>
      <c r="G289" s="506">
        <f>540*C73</f>
        <v>595.78199999999993</v>
      </c>
      <c r="H289" s="493" t="s">
        <v>27</v>
      </c>
      <c r="I289" s="418" t="str">
        <f>F289</f>
        <v>Riving banebelegg + 70 mm påstøp</v>
      </c>
      <c r="J289" s="506">
        <f>G289</f>
        <v>595.78199999999993</v>
      </c>
      <c r="K289"/>
      <c r="L289"/>
      <c r="M289" s="490"/>
    </row>
    <row r="290" spans="1:13" s="491" customFormat="1" x14ac:dyDescent="0.25">
      <c r="A290" s="492"/>
      <c r="B290" s="493" t="s">
        <v>28</v>
      </c>
      <c r="C290" s="418" t="s">
        <v>663</v>
      </c>
      <c r="D290" s="506">
        <v>400</v>
      </c>
      <c r="E290" s="493" t="s">
        <v>28</v>
      </c>
      <c r="F290" s="418" t="s">
        <v>48</v>
      </c>
      <c r="G290" s="506">
        <f>50*C73</f>
        <v>55.164999999999999</v>
      </c>
      <c r="H290" s="493" t="s">
        <v>28</v>
      </c>
      <c r="I290" s="418" t="str">
        <f t="shared" ref="I290:J297" si="20">F290</f>
        <v>Riving 50 mm isolasjon</v>
      </c>
      <c r="J290" s="506">
        <f t="shared" si="20"/>
        <v>55.164999999999999</v>
      </c>
      <c r="K290"/>
      <c r="L290"/>
      <c r="M290" s="490"/>
    </row>
    <row r="291" spans="1:13" s="491" customFormat="1" ht="30" x14ac:dyDescent="0.25">
      <c r="A291" s="492"/>
      <c r="B291" s="493" t="s">
        <v>29</v>
      </c>
      <c r="C291" s="418" t="s">
        <v>792</v>
      </c>
      <c r="D291" s="506">
        <v>410</v>
      </c>
      <c r="E291" s="493" t="s">
        <v>29</v>
      </c>
      <c r="F291" s="418" t="s">
        <v>53</v>
      </c>
      <c r="G291" s="506">
        <f>130*C73</f>
        <v>143.429</v>
      </c>
      <c r="H291" s="493" t="s">
        <v>29</v>
      </c>
      <c r="I291" s="418" t="str">
        <f t="shared" si="20"/>
        <v>Fjerning av kultlag, t=100 mm</v>
      </c>
      <c r="J291" s="506">
        <f t="shared" si="20"/>
        <v>143.429</v>
      </c>
      <c r="K291"/>
      <c r="L291"/>
      <c r="M291" s="490"/>
    </row>
    <row r="292" spans="1:13" s="491" customFormat="1" ht="30" x14ac:dyDescent="0.25">
      <c r="A292" s="492"/>
      <c r="B292" s="493" t="s">
        <v>30</v>
      </c>
      <c r="C292" s="491" t="s">
        <v>664</v>
      </c>
      <c r="D292" s="506">
        <v>50</v>
      </c>
      <c r="E292" s="493" t="s">
        <v>30</v>
      </c>
      <c r="F292" s="418" t="s">
        <v>793</v>
      </c>
      <c r="G292" s="506">
        <v>125</v>
      </c>
      <c r="H292" s="493" t="s">
        <v>30</v>
      </c>
      <c r="I292" s="418" t="str">
        <f t="shared" si="20"/>
        <v>Fjerning av jordmasser, t =150 mm</v>
      </c>
      <c r="J292" s="506">
        <f t="shared" si="20"/>
        <v>125</v>
      </c>
      <c r="K292"/>
      <c r="L292"/>
      <c r="M292" s="490"/>
    </row>
    <row r="293" spans="1:13" s="491" customFormat="1" ht="30" x14ac:dyDescent="0.25">
      <c r="A293" s="492"/>
      <c r="B293" s="493" t="s">
        <v>31</v>
      </c>
      <c r="C293" s="418" t="s">
        <v>794</v>
      </c>
      <c r="D293" s="506">
        <v>360</v>
      </c>
      <c r="E293" s="493" t="s">
        <v>31</v>
      </c>
      <c r="F293" s="418" t="s">
        <v>54</v>
      </c>
      <c r="G293" s="506">
        <f>200*C73</f>
        <v>220.66</v>
      </c>
      <c r="H293" s="493" t="s">
        <v>31</v>
      </c>
      <c r="I293" s="418" t="str">
        <f t="shared" si="20"/>
        <v>Nytt drenslag t=150 mm</v>
      </c>
      <c r="J293" s="506">
        <f t="shared" si="20"/>
        <v>220.66</v>
      </c>
      <c r="K293"/>
      <c r="L293"/>
      <c r="M293" s="490"/>
    </row>
    <row r="294" spans="1:13" s="491" customFormat="1" ht="30" x14ac:dyDescent="0.25">
      <c r="A294" s="492"/>
      <c r="B294" s="493" t="s">
        <v>32</v>
      </c>
      <c r="C294" s="418" t="s">
        <v>665</v>
      </c>
      <c r="D294" s="506">
        <v>200</v>
      </c>
      <c r="E294" s="493" t="s">
        <v>32</v>
      </c>
      <c r="F294" s="418" t="s">
        <v>795</v>
      </c>
      <c r="G294" s="506">
        <v>490</v>
      </c>
      <c r="H294" s="493" t="s">
        <v>32</v>
      </c>
      <c r="I294" s="524" t="str">
        <f t="shared" si="20"/>
        <v>Ny isolasjon 50 + 100 mm krysslagt</v>
      </c>
      <c r="J294" s="506">
        <f t="shared" si="20"/>
        <v>490</v>
      </c>
      <c r="K294"/>
      <c r="L294"/>
      <c r="M294" s="490"/>
    </row>
    <row r="295" spans="1:13" s="491" customFormat="1" x14ac:dyDescent="0.25">
      <c r="A295" s="492"/>
      <c r="B295" s="493" t="s">
        <v>37</v>
      </c>
      <c r="C295" s="418"/>
      <c r="D295" s="496"/>
      <c r="E295" s="493" t="s">
        <v>37</v>
      </c>
      <c r="F295" s="418" t="s">
        <v>49</v>
      </c>
      <c r="G295" s="506">
        <f>40*C73</f>
        <v>44.131999999999998</v>
      </c>
      <c r="H295" s="493" t="s">
        <v>37</v>
      </c>
      <c r="I295" s="418" t="str">
        <f t="shared" si="20"/>
        <v>Plastfolie</v>
      </c>
      <c r="J295" s="506">
        <f t="shared" si="20"/>
        <v>44.131999999999998</v>
      </c>
      <c r="K295"/>
      <c r="L295"/>
      <c r="M295" s="490"/>
    </row>
    <row r="296" spans="1:13" s="491" customFormat="1" x14ac:dyDescent="0.25">
      <c r="A296" s="492"/>
      <c r="B296" s="493" t="s">
        <v>42</v>
      </c>
      <c r="C296" s="418"/>
      <c r="D296" s="496"/>
      <c r="E296" s="493" t="s">
        <v>42</v>
      </c>
      <c r="F296" s="418" t="s">
        <v>50</v>
      </c>
      <c r="G296" s="506">
        <f>800*C73</f>
        <v>882.64</v>
      </c>
      <c r="H296" s="493" t="s">
        <v>42</v>
      </c>
      <c r="I296" s="418" t="str">
        <f t="shared" si="20"/>
        <v>Påstøp 70 mm</v>
      </c>
      <c r="J296" s="506">
        <f t="shared" si="20"/>
        <v>882.64</v>
      </c>
      <c r="K296"/>
      <c r="L296"/>
      <c r="M296" s="490"/>
    </row>
    <row r="297" spans="1:13" s="491" customFormat="1" x14ac:dyDescent="0.25">
      <c r="A297" s="492"/>
      <c r="B297" s="493" t="s">
        <v>46</v>
      </c>
      <c r="C297" s="418"/>
      <c r="D297" s="496"/>
      <c r="E297" s="493" t="s">
        <v>46</v>
      </c>
      <c r="F297" s="418" t="s">
        <v>52</v>
      </c>
      <c r="G297" s="506">
        <f>650*C73</f>
        <v>717.14499999999998</v>
      </c>
      <c r="H297" s="493" t="s">
        <v>46</v>
      </c>
      <c r="I297" s="418" t="str">
        <f t="shared" si="20"/>
        <v>Banebelegg</v>
      </c>
      <c r="J297" s="506">
        <f t="shared" si="20"/>
        <v>717.14499999999998</v>
      </c>
      <c r="K297"/>
      <c r="L297"/>
      <c r="M297" s="490"/>
    </row>
    <row r="298" spans="1:13" s="491" customFormat="1" x14ac:dyDescent="0.25">
      <c r="A298" s="492"/>
      <c r="B298" s="499" t="s">
        <v>67</v>
      </c>
      <c r="C298" s="500" t="s">
        <v>35</v>
      </c>
      <c r="D298" s="530">
        <f>ROUNDUP(SUM(D289:D297)*1.17,-1)</f>
        <v>1800</v>
      </c>
      <c r="E298" s="499" t="s">
        <v>67</v>
      </c>
      <c r="F298" s="500" t="s">
        <v>35</v>
      </c>
      <c r="G298" s="530">
        <f>ROUNDUP(SUM(G289:G297)*1.17,-1)</f>
        <v>3840</v>
      </c>
      <c r="H298" s="499" t="s">
        <v>67</v>
      </c>
      <c r="I298" s="500" t="s">
        <v>35</v>
      </c>
      <c r="J298" s="530">
        <f>ROUNDUP(SUM(J289:J297)*1.17,-1)</f>
        <v>3840</v>
      </c>
      <c r="K298"/>
      <c r="L298"/>
      <c r="M298" s="490"/>
    </row>
    <row r="299" spans="1:13" s="491" customFormat="1" x14ac:dyDescent="0.25">
      <c r="A299" s="492"/>
      <c r="B299" s="502"/>
      <c r="C299" s="418"/>
      <c r="D299" s="503"/>
      <c r="E299" s="502"/>
      <c r="F299" s="418"/>
      <c r="G299" s="503"/>
      <c r="H299" s="502"/>
      <c r="I299" s="418"/>
      <c r="J299" s="503"/>
      <c r="K299"/>
      <c r="L299"/>
      <c r="M299" s="490"/>
    </row>
    <row r="300" spans="1:13" s="491" customFormat="1" x14ac:dyDescent="0.25">
      <c r="A300" s="492" t="s">
        <v>618</v>
      </c>
      <c r="B300" s="488" t="s">
        <v>344</v>
      </c>
      <c r="C300" s="419" t="s">
        <v>24</v>
      </c>
      <c r="D300" s="489"/>
      <c r="E300" s="488" t="s">
        <v>344</v>
      </c>
      <c r="F300" s="419" t="s">
        <v>24</v>
      </c>
      <c r="G300" s="489"/>
      <c r="H300" s="488" t="s">
        <v>338</v>
      </c>
      <c r="I300" s="419" t="s">
        <v>24</v>
      </c>
      <c r="J300" s="489"/>
      <c r="K300"/>
      <c r="L300"/>
      <c r="M300" s="490"/>
    </row>
    <row r="301" spans="1:13" s="491" customFormat="1" ht="30" x14ac:dyDescent="0.25">
      <c r="A301" s="492"/>
      <c r="B301" s="493" t="s">
        <v>27</v>
      </c>
      <c r="C301" s="418" t="s">
        <v>55</v>
      </c>
      <c r="D301" s="496">
        <v>810</v>
      </c>
      <c r="E301" s="493" t="s">
        <v>27</v>
      </c>
      <c r="F301" s="418" t="s">
        <v>55</v>
      </c>
      <c r="G301" s="496">
        <v>810</v>
      </c>
      <c r="H301" s="493" t="s">
        <v>27</v>
      </c>
      <c r="I301" s="418" t="s">
        <v>55</v>
      </c>
      <c r="J301" s="496">
        <v>810</v>
      </c>
      <c r="K301"/>
      <c r="L301"/>
      <c r="M301" s="490"/>
    </row>
    <row r="302" spans="1:13" s="491" customFormat="1" x14ac:dyDescent="0.25">
      <c r="A302" s="492"/>
      <c r="B302" s="493" t="s">
        <v>28</v>
      </c>
      <c r="C302" s="418" t="s">
        <v>778</v>
      </c>
      <c r="D302" s="496">
        <v>6500</v>
      </c>
      <c r="E302" s="493" t="s">
        <v>28</v>
      </c>
      <c r="F302" s="418" t="s">
        <v>778</v>
      </c>
      <c r="G302" s="496">
        <v>6500</v>
      </c>
      <c r="H302" s="493" t="s">
        <v>28</v>
      </c>
      <c r="I302" s="418" t="s">
        <v>778</v>
      </c>
      <c r="J302" s="496">
        <v>6500</v>
      </c>
      <c r="K302"/>
      <c r="L302"/>
      <c r="M302" s="490"/>
    </row>
    <row r="303" spans="1:13" s="491" customFormat="1" x14ac:dyDescent="0.25">
      <c r="A303" s="492"/>
      <c r="B303" s="493" t="s">
        <v>29</v>
      </c>
      <c r="C303" s="418" t="s">
        <v>77</v>
      </c>
      <c r="D303" s="496">
        <v>1674</v>
      </c>
      <c r="E303" s="493" t="s">
        <v>29</v>
      </c>
      <c r="F303" s="418" t="s">
        <v>77</v>
      </c>
      <c r="G303" s="486">
        <v>0</v>
      </c>
      <c r="H303" s="493" t="s">
        <v>29</v>
      </c>
      <c r="I303" s="418" t="s">
        <v>77</v>
      </c>
      <c r="J303" s="486">
        <v>0</v>
      </c>
      <c r="K303"/>
      <c r="L303"/>
      <c r="M303" s="490"/>
    </row>
    <row r="304" spans="1:13" s="491" customFormat="1" ht="45" x14ac:dyDescent="0.25">
      <c r="A304" s="492"/>
      <c r="B304" s="493" t="s">
        <v>30</v>
      </c>
      <c r="C304" s="418" t="s">
        <v>79</v>
      </c>
      <c r="D304" s="496">
        <v>2376</v>
      </c>
      <c r="E304" s="493" t="s">
        <v>30</v>
      </c>
      <c r="F304" s="418" t="s">
        <v>79</v>
      </c>
      <c r="G304" s="496">
        <v>2376</v>
      </c>
      <c r="H304" s="493" t="s">
        <v>30</v>
      </c>
      <c r="I304" s="418" t="s">
        <v>79</v>
      </c>
      <c r="J304" s="496">
        <v>2376</v>
      </c>
      <c r="K304"/>
      <c r="L304"/>
      <c r="M304" s="490"/>
    </row>
    <row r="305" spans="1:13" s="491" customFormat="1" x14ac:dyDescent="0.25">
      <c r="A305" s="492"/>
      <c r="B305" s="493" t="s">
        <v>31</v>
      </c>
      <c r="C305" s="418"/>
      <c r="D305" s="496"/>
      <c r="E305" s="493" t="s">
        <v>31</v>
      </c>
      <c r="F305" s="418"/>
      <c r="G305" s="503"/>
      <c r="H305" s="493" t="s">
        <v>31</v>
      </c>
      <c r="I305" s="418"/>
      <c r="J305" s="503"/>
      <c r="K305"/>
      <c r="L305"/>
      <c r="M305" s="490"/>
    </row>
    <row r="306" spans="1:13" s="491" customFormat="1" x14ac:dyDescent="0.25">
      <c r="A306" s="492"/>
      <c r="B306" s="499" t="s">
        <v>67</v>
      </c>
      <c r="C306" s="500" t="s">
        <v>35</v>
      </c>
      <c r="D306" s="501">
        <f>ROUNDUP(SUM(D301:D305)*1.17,-1)</f>
        <v>13300</v>
      </c>
      <c r="E306" s="499" t="s">
        <v>67</v>
      </c>
      <c r="F306" s="500" t="s">
        <v>35</v>
      </c>
      <c r="G306" s="501">
        <f>ROUNDUP(SUM(G301:G305)*1.17,-1)</f>
        <v>11340</v>
      </c>
      <c r="H306" s="499" t="s">
        <v>67</v>
      </c>
      <c r="I306" s="500" t="s">
        <v>35</v>
      </c>
      <c r="J306" s="501">
        <f>ROUNDUP(SUM(J301:J305)*1.17,-1)</f>
        <v>11340</v>
      </c>
      <c r="K306"/>
      <c r="L306"/>
      <c r="M306" s="490"/>
    </row>
    <row r="307" spans="1:13" s="491" customFormat="1" x14ac:dyDescent="0.25">
      <c r="A307" s="492"/>
      <c r="B307" s="531"/>
      <c r="C307" s="532"/>
      <c r="D307" s="533"/>
      <c r="E307" s="531"/>
      <c r="F307" s="532"/>
      <c r="G307" s="533"/>
      <c r="H307" s="534"/>
      <c r="I307" s="532"/>
      <c r="J307" s="533"/>
      <c r="K307"/>
      <c r="L307"/>
      <c r="M307" s="490"/>
    </row>
    <row r="308" spans="1:13" s="491" customFormat="1" x14ac:dyDescent="0.25">
      <c r="A308" s="490"/>
      <c r="B308" s="535"/>
      <c r="C308" s="536"/>
      <c r="D308" s="537"/>
      <c r="E308" s="535"/>
      <c r="F308" s="536"/>
      <c r="G308" s="537"/>
      <c r="H308" s="538"/>
      <c r="I308" s="536"/>
      <c r="J308" s="537"/>
      <c r="K308"/>
      <c r="L308"/>
    </row>
    <row r="309" spans="1:13" x14ac:dyDescent="0.25">
      <c r="K309"/>
      <c r="L309"/>
    </row>
    <row r="310" spans="1:13" x14ac:dyDescent="0.25">
      <c r="K310"/>
      <c r="L310"/>
    </row>
    <row r="311" spans="1:13" x14ac:dyDescent="0.25">
      <c r="K311"/>
      <c r="L311"/>
    </row>
    <row r="312" spans="1:13" x14ac:dyDescent="0.25">
      <c r="K312"/>
      <c r="L312"/>
    </row>
  </sheetData>
  <mergeCells count="9">
    <mergeCell ref="O41:Q41"/>
    <mergeCell ref="R41:T41"/>
    <mergeCell ref="B75:D75"/>
    <mergeCell ref="E75:G75"/>
    <mergeCell ref="I41:K41"/>
    <mergeCell ref="L41:N41"/>
    <mergeCell ref="I57:K57"/>
    <mergeCell ref="L57:N57"/>
    <mergeCell ref="H75:J75"/>
  </mergeCells>
  <pageMargins left="0.59055118110236227" right="0.39370078740157483" top="0.19685039370078741" bottom="0.19685039370078741" header="0" footer="0"/>
  <pageSetup paperSize="8" scale="62" orientation="portrait" r:id="rId1"/>
  <colBreaks count="1" manualBreakCount="1">
    <brk id="7" max="1048575" man="1"/>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8"/>
  <sheetViews>
    <sheetView zoomScale="90" zoomScaleNormal="90" workbookViewId="0">
      <selection activeCell="A35" sqref="A35:B35"/>
    </sheetView>
  </sheetViews>
  <sheetFormatPr baseColWidth="10" defaultColWidth="9.140625" defaultRowHeight="15" x14ac:dyDescent="0.25"/>
  <cols>
    <col min="1" max="1" width="26.7109375" customWidth="1"/>
    <col min="2" max="2" width="18.7109375" customWidth="1"/>
    <col min="9" max="11" width="9.42578125" bestFit="1" customWidth="1"/>
    <col min="12" max="12" width="11.7109375" customWidth="1"/>
  </cols>
  <sheetData>
    <row r="1" spans="1:3" x14ac:dyDescent="0.25">
      <c r="A1" s="16" t="s">
        <v>551</v>
      </c>
    </row>
    <row r="2" spans="1:3" s="225" customFormat="1" x14ac:dyDescent="0.25">
      <c r="A2" s="225" t="s">
        <v>362</v>
      </c>
    </row>
    <row r="4" spans="1:3" x14ac:dyDescent="0.25">
      <c r="A4" s="196" t="s">
        <v>557</v>
      </c>
    </row>
    <row r="5" spans="1:3" x14ac:dyDescent="0.25">
      <c r="A5" s="196" t="s">
        <v>366</v>
      </c>
    </row>
    <row r="6" spans="1:3" x14ac:dyDescent="0.25">
      <c r="A6" t="s">
        <v>561</v>
      </c>
    </row>
    <row r="7" spans="1:3" x14ac:dyDescent="0.25">
      <c r="A7" t="s">
        <v>518</v>
      </c>
      <c r="B7" s="338" t="s">
        <v>559</v>
      </c>
    </row>
    <row r="8" spans="1:3" x14ac:dyDescent="0.25">
      <c r="A8" t="s">
        <v>519</v>
      </c>
      <c r="B8" s="338" t="s">
        <v>556</v>
      </c>
    </row>
    <row r="9" spans="1:3" x14ac:dyDescent="0.25">
      <c r="A9" t="s">
        <v>520</v>
      </c>
      <c r="B9" s="338" t="s">
        <v>555</v>
      </c>
    </row>
    <row r="11" spans="1:3" s="196" customFormat="1" x14ac:dyDescent="0.25">
      <c r="A11" s="196" t="s">
        <v>80</v>
      </c>
      <c r="B11"/>
      <c r="C11"/>
    </row>
    <row r="12" spans="1:3" s="196" customFormat="1" x14ac:dyDescent="0.25">
      <c r="A12" t="s">
        <v>561</v>
      </c>
      <c r="B12"/>
      <c r="C12"/>
    </row>
    <row r="13" spans="1:3" s="196" customFormat="1" x14ac:dyDescent="0.25">
      <c r="A13" t="s">
        <v>518</v>
      </c>
      <c r="B13" s="338" t="s">
        <v>558</v>
      </c>
      <c r="C13"/>
    </row>
    <row r="14" spans="1:3" s="196" customFormat="1" x14ac:dyDescent="0.25">
      <c r="A14" t="s">
        <v>519</v>
      </c>
      <c r="B14" s="338" t="s">
        <v>560</v>
      </c>
      <c r="C14"/>
    </row>
    <row r="15" spans="1:3" s="196" customFormat="1" x14ac:dyDescent="0.25">
      <c r="A15" t="s">
        <v>520</v>
      </c>
      <c r="B15" s="338" t="s">
        <v>560</v>
      </c>
      <c r="C15"/>
    </row>
    <row r="16" spans="1:3" s="196" customFormat="1" x14ac:dyDescent="0.25">
      <c r="A16" s="226"/>
    </row>
    <row r="17" spans="1:2" s="196" customFormat="1" x14ac:dyDescent="0.25">
      <c r="A17" s="196" t="s">
        <v>365</v>
      </c>
    </row>
    <row r="18" spans="1:2" s="196" customFormat="1" x14ac:dyDescent="0.25">
      <c r="A18" s="3" t="s">
        <v>569</v>
      </c>
    </row>
    <row r="19" spans="1:2" s="196" customFormat="1" x14ac:dyDescent="0.25">
      <c r="A19" t="s">
        <v>518</v>
      </c>
      <c r="B19" s="338" t="s">
        <v>588</v>
      </c>
    </row>
    <row r="20" spans="1:2" s="196" customFormat="1" x14ac:dyDescent="0.25">
      <c r="A20" t="s">
        <v>519</v>
      </c>
      <c r="B20" s="338" t="s">
        <v>1051</v>
      </c>
    </row>
    <row r="21" spans="1:2" s="196" customFormat="1" x14ac:dyDescent="0.25">
      <c r="A21" t="s">
        <v>520</v>
      </c>
      <c r="B21" s="338" t="s">
        <v>1052</v>
      </c>
    </row>
    <row r="22" spans="1:2" s="196" customFormat="1" x14ac:dyDescent="0.25"/>
    <row r="23" spans="1:2" x14ac:dyDescent="0.25">
      <c r="A23" s="196" t="s">
        <v>562</v>
      </c>
    </row>
    <row r="24" spans="1:2" x14ac:dyDescent="0.25">
      <c r="A24" s="3" t="s">
        <v>363</v>
      </c>
    </row>
    <row r="25" spans="1:2" x14ac:dyDescent="0.25">
      <c r="A25" t="s">
        <v>518</v>
      </c>
      <c r="B25" s="338" t="s">
        <v>566</v>
      </c>
    </row>
    <row r="26" spans="1:2" x14ac:dyDescent="0.25">
      <c r="A26" t="s">
        <v>519</v>
      </c>
      <c r="B26" s="338" t="s">
        <v>572</v>
      </c>
    </row>
    <row r="27" spans="1:2" x14ac:dyDescent="0.25">
      <c r="A27" t="s">
        <v>520</v>
      </c>
      <c r="B27" s="338" t="s">
        <v>1053</v>
      </c>
    </row>
    <row r="29" spans="1:2" x14ac:dyDescent="0.25">
      <c r="A29" s="196" t="s">
        <v>563</v>
      </c>
    </row>
    <row r="30" spans="1:2" x14ac:dyDescent="0.25">
      <c r="A30" s="3" t="s">
        <v>1054</v>
      </c>
    </row>
    <row r="31" spans="1:2" x14ac:dyDescent="0.25">
      <c r="A31" t="s">
        <v>518</v>
      </c>
      <c r="B31" s="338" t="s">
        <v>571</v>
      </c>
    </row>
    <row r="32" spans="1:2" x14ac:dyDescent="0.25">
      <c r="A32" t="s">
        <v>519</v>
      </c>
      <c r="B32" s="338" t="s">
        <v>570</v>
      </c>
    </row>
    <row r="33" spans="1:17" x14ac:dyDescent="0.25">
      <c r="A33" t="s">
        <v>520</v>
      </c>
      <c r="B33" s="338" t="s">
        <v>567</v>
      </c>
    </row>
    <row r="34" spans="1:17" x14ac:dyDescent="0.25">
      <c r="A34" s="196"/>
    </row>
    <row r="35" spans="1:17" x14ac:dyDescent="0.25">
      <c r="A35" s="196" t="s">
        <v>1112</v>
      </c>
      <c r="B35">
        <v>1.058222</v>
      </c>
    </row>
    <row r="36" spans="1:17" x14ac:dyDescent="0.25">
      <c r="C36" s="707" t="str">
        <f>A4</f>
        <v>Varmegjenvinning i ventilasjon</v>
      </c>
      <c r="D36" s="708"/>
      <c r="E36" s="709"/>
      <c r="F36" s="707" t="str">
        <f>A23</f>
        <v>Forbedring av SFP (kun næringsbygg)</v>
      </c>
      <c r="G36" s="708"/>
      <c r="H36" s="709"/>
      <c r="I36" s="707" t="str">
        <f>A29</f>
        <v>Etablering av DCV (kun næringsbygg)</v>
      </c>
      <c r="J36" s="708"/>
      <c r="K36" s="709"/>
    </row>
    <row r="37" spans="1:17" x14ac:dyDescent="0.25">
      <c r="A37" s="73" t="s">
        <v>95</v>
      </c>
      <c r="B37" s="63" t="s">
        <v>163</v>
      </c>
      <c r="C37" s="17" t="s">
        <v>3</v>
      </c>
      <c r="D37" s="17" t="s">
        <v>143</v>
      </c>
      <c r="E37" s="17" t="s">
        <v>4</v>
      </c>
      <c r="F37" s="17" t="s">
        <v>3</v>
      </c>
      <c r="G37" s="17" t="s">
        <v>143</v>
      </c>
      <c r="H37" s="17" t="s">
        <v>4</v>
      </c>
      <c r="I37" s="17" t="s">
        <v>3</v>
      </c>
      <c r="J37" s="17" t="s">
        <v>143</v>
      </c>
      <c r="K37" s="17" t="s">
        <v>4</v>
      </c>
    </row>
    <row r="38" spans="1:17" x14ac:dyDescent="0.25">
      <c r="A38" s="68"/>
      <c r="B38" s="69" t="s">
        <v>174</v>
      </c>
      <c r="C38" s="17" t="s">
        <v>522</v>
      </c>
      <c r="D38" s="17" t="s">
        <v>522</v>
      </c>
      <c r="E38" s="17" t="s">
        <v>522</v>
      </c>
      <c r="F38" s="17" t="s">
        <v>522</v>
      </c>
      <c r="G38" s="17" t="s">
        <v>522</v>
      </c>
      <c r="H38" s="17" t="s">
        <v>522</v>
      </c>
      <c r="I38" s="17" t="s">
        <v>522</v>
      </c>
      <c r="J38" s="17" t="s">
        <v>522</v>
      </c>
      <c r="K38" s="17" t="s">
        <v>522</v>
      </c>
      <c r="L38" s="335" t="s">
        <v>527</v>
      </c>
      <c r="M38" s="1"/>
    </row>
    <row r="39" spans="1:17" x14ac:dyDescent="0.25">
      <c r="A39" s="339" t="s">
        <v>11</v>
      </c>
      <c r="B39" s="333">
        <v>160</v>
      </c>
      <c r="C39" s="641">
        <f>B35*428*1.03^3</f>
        <v>494.91683759663198</v>
      </c>
      <c r="D39" s="433">
        <f>(C39+E39)/2</f>
        <v>522.59613879831602</v>
      </c>
      <c r="E39" s="334">
        <f>B35*520</f>
        <v>550.27544</v>
      </c>
      <c r="F39" s="327"/>
      <c r="G39" s="322"/>
      <c r="H39" s="326"/>
      <c r="I39" s="327"/>
      <c r="J39" s="322"/>
      <c r="K39" s="326"/>
    </row>
    <row r="40" spans="1:17" x14ac:dyDescent="0.25">
      <c r="A40" s="340" t="s">
        <v>1</v>
      </c>
      <c r="B40" s="2">
        <v>900</v>
      </c>
      <c r="C40" s="642">
        <f>B35*439*1.03^3</f>
        <v>507.63666286196599</v>
      </c>
      <c r="D40" s="434">
        <f>(C40+E40)/2</f>
        <v>536.02734797303901</v>
      </c>
      <c r="E40" s="643">
        <f>C40*((E39-C39)/C39+1)</f>
        <v>564.41803308411215</v>
      </c>
      <c r="F40" s="328"/>
      <c r="G40" s="323"/>
      <c r="H40" s="190"/>
      <c r="I40" s="328"/>
      <c r="J40" s="323"/>
      <c r="K40" s="190"/>
      <c r="Q40" s="637" t="s">
        <v>1056</v>
      </c>
    </row>
    <row r="41" spans="1:17" x14ac:dyDescent="0.25">
      <c r="A41" s="24" t="s">
        <v>97</v>
      </c>
      <c r="B41" s="1">
        <v>300</v>
      </c>
      <c r="C41" s="428">
        <f t="shared" ref="C41:H41" si="0">C$42</f>
        <v>89.948869999999999</v>
      </c>
      <c r="D41" s="468">
        <f t="shared" si="0"/>
        <v>201.06218000000001</v>
      </c>
      <c r="E41" s="605">
        <f t="shared" si="0"/>
        <v>377.78525400000001</v>
      </c>
      <c r="F41" s="428">
        <f t="shared" si="0"/>
        <v>26.455549999999999</v>
      </c>
      <c r="G41" s="468">
        <f t="shared" si="0"/>
        <v>37.037770000000002</v>
      </c>
      <c r="H41" s="605">
        <f t="shared" si="0"/>
        <v>377.78525400000001</v>
      </c>
      <c r="I41" s="429">
        <f>$Q41*(1+($I$42-$Q$42)/$Q$42)</f>
        <v>351.32970399999999</v>
      </c>
      <c r="J41" s="468">
        <f t="shared" ref="J41:J50" si="1">I41*1.2</f>
        <v>421.5956448</v>
      </c>
      <c r="K41" s="605">
        <f t="shared" ref="K41:K50" si="2">J41*1.3</f>
        <v>548.07433823999997</v>
      </c>
      <c r="L41" t="s">
        <v>735</v>
      </c>
      <c r="Q41" s="645">
        <f>250*1.03^3</f>
        <v>273.18175000000002</v>
      </c>
    </row>
    <row r="42" spans="1:17" x14ac:dyDescent="0.25">
      <c r="A42" s="24" t="s">
        <v>98</v>
      </c>
      <c r="B42" s="1">
        <v>3600</v>
      </c>
      <c r="C42" s="428">
        <f>B35*85</f>
        <v>89.948869999999999</v>
      </c>
      <c r="D42" s="1">
        <f>B35*190</f>
        <v>201.06218000000001</v>
      </c>
      <c r="E42" s="25">
        <f>B35*357</f>
        <v>377.78525400000001</v>
      </c>
      <c r="F42" s="324">
        <f>B35*25</f>
        <v>26.455549999999999</v>
      </c>
      <c r="G42" s="1">
        <f>B35*35</f>
        <v>37.037770000000002</v>
      </c>
      <c r="H42" s="25">
        <f>B35*357</f>
        <v>377.78525400000001</v>
      </c>
      <c r="I42" s="429">
        <f>415*B35</f>
        <v>439.16212999999999</v>
      </c>
      <c r="J42" s="468">
        <f t="shared" si="1"/>
        <v>526.99455599999999</v>
      </c>
      <c r="K42" s="605">
        <f t="shared" si="2"/>
        <v>685.0929228</v>
      </c>
      <c r="L42" t="s">
        <v>1055</v>
      </c>
      <c r="Q42" s="645">
        <f>312.5*1.03^3</f>
        <v>341.47718750000001</v>
      </c>
    </row>
    <row r="43" spans="1:17" x14ac:dyDescent="0.25">
      <c r="A43" s="24" t="s">
        <v>99</v>
      </c>
      <c r="B43" s="1">
        <v>2400</v>
      </c>
      <c r="C43" s="428">
        <f t="shared" ref="C43:H50" si="3">C$42</f>
        <v>89.948869999999999</v>
      </c>
      <c r="D43" s="468">
        <f t="shared" si="3"/>
        <v>201.06218000000001</v>
      </c>
      <c r="E43" s="605">
        <f t="shared" si="3"/>
        <v>377.78525400000001</v>
      </c>
      <c r="F43" s="428">
        <f t="shared" si="3"/>
        <v>26.455549999999999</v>
      </c>
      <c r="G43" s="468">
        <f t="shared" si="3"/>
        <v>37.037770000000002</v>
      </c>
      <c r="H43" s="605">
        <f t="shared" si="3"/>
        <v>377.78525400000001</v>
      </c>
      <c r="I43" s="429">
        <f t="shared" ref="I43:I50" si="4">$Q43*(1+($I$42-$Q$42)/$Q$42)</f>
        <v>263.49727799999999</v>
      </c>
      <c r="J43" s="468">
        <f t="shared" si="1"/>
        <v>316.19673359999996</v>
      </c>
      <c r="K43" s="605">
        <f t="shared" si="2"/>
        <v>411.05575367999995</v>
      </c>
      <c r="L43" t="s">
        <v>735</v>
      </c>
      <c r="Q43" s="645">
        <f>187.5*1.03^3</f>
        <v>204.8863125</v>
      </c>
    </row>
    <row r="44" spans="1:17" x14ac:dyDescent="0.25">
      <c r="A44" s="24" t="s">
        <v>100</v>
      </c>
      <c r="B44" s="1">
        <v>3600</v>
      </c>
      <c r="C44" s="428">
        <f t="shared" si="3"/>
        <v>89.948869999999999</v>
      </c>
      <c r="D44" s="468">
        <f t="shared" si="3"/>
        <v>201.06218000000001</v>
      </c>
      <c r="E44" s="605">
        <f t="shared" si="3"/>
        <v>377.78525400000001</v>
      </c>
      <c r="F44" s="428">
        <f t="shared" si="3"/>
        <v>26.455549999999999</v>
      </c>
      <c r="G44" s="468">
        <f t="shared" si="3"/>
        <v>37.037770000000002</v>
      </c>
      <c r="H44" s="605">
        <f t="shared" si="3"/>
        <v>377.78525400000001</v>
      </c>
      <c r="I44" s="429">
        <f t="shared" si="4"/>
        <v>263.49727799999999</v>
      </c>
      <c r="J44" s="468">
        <f t="shared" si="1"/>
        <v>316.19673359999996</v>
      </c>
      <c r="K44" s="605">
        <f t="shared" si="2"/>
        <v>411.05575367999995</v>
      </c>
      <c r="L44" t="s">
        <v>735</v>
      </c>
      <c r="Q44" s="645">
        <f>187.5*1.03^3</f>
        <v>204.8863125</v>
      </c>
    </row>
    <row r="45" spans="1:17" x14ac:dyDescent="0.25">
      <c r="A45" s="24" t="s">
        <v>101</v>
      </c>
      <c r="B45" s="1">
        <v>3600</v>
      </c>
      <c r="C45" s="428">
        <f t="shared" si="3"/>
        <v>89.948869999999999</v>
      </c>
      <c r="D45" s="468">
        <f t="shared" si="3"/>
        <v>201.06218000000001</v>
      </c>
      <c r="E45" s="605">
        <f t="shared" si="3"/>
        <v>377.78525400000001</v>
      </c>
      <c r="F45" s="428">
        <f t="shared" si="3"/>
        <v>26.455549999999999</v>
      </c>
      <c r="G45" s="468">
        <f t="shared" si="3"/>
        <v>37.037770000000002</v>
      </c>
      <c r="H45" s="605">
        <f t="shared" si="3"/>
        <v>377.78525400000001</v>
      </c>
      <c r="I45" s="429">
        <f t="shared" si="4"/>
        <v>439.16212999999999</v>
      </c>
      <c r="J45" s="468">
        <f t="shared" si="1"/>
        <v>526.99455599999999</v>
      </c>
      <c r="K45" s="605">
        <f t="shared" si="2"/>
        <v>685.0929228</v>
      </c>
      <c r="L45" t="s">
        <v>735</v>
      </c>
      <c r="Q45" s="645">
        <f>312.5*1.03^3</f>
        <v>341.47718750000001</v>
      </c>
    </row>
    <row r="46" spans="1:17" x14ac:dyDescent="0.25">
      <c r="A46" s="24" t="s">
        <v>102</v>
      </c>
      <c r="B46" s="1">
        <v>2400</v>
      </c>
      <c r="C46" s="428">
        <f t="shared" si="3"/>
        <v>89.948869999999999</v>
      </c>
      <c r="D46" s="468">
        <f t="shared" si="3"/>
        <v>201.06218000000001</v>
      </c>
      <c r="E46" s="605">
        <f t="shared" si="3"/>
        <v>377.78525400000001</v>
      </c>
      <c r="F46" s="428">
        <f t="shared" si="3"/>
        <v>26.455549999999999</v>
      </c>
      <c r="G46" s="468">
        <f t="shared" si="3"/>
        <v>37.037770000000002</v>
      </c>
      <c r="H46" s="605">
        <f t="shared" si="3"/>
        <v>377.78525400000001</v>
      </c>
      <c r="I46" s="429">
        <f t="shared" si="4"/>
        <v>351.32970399999999</v>
      </c>
      <c r="J46" s="468">
        <f t="shared" si="1"/>
        <v>421.5956448</v>
      </c>
      <c r="K46" s="605">
        <f t="shared" si="2"/>
        <v>548.07433823999997</v>
      </c>
      <c r="L46" t="s">
        <v>735</v>
      </c>
      <c r="Q46" s="645">
        <f>250*1.03^3</f>
        <v>273.18175000000002</v>
      </c>
    </row>
    <row r="47" spans="1:17" x14ac:dyDescent="0.25">
      <c r="A47" s="24" t="s">
        <v>103</v>
      </c>
      <c r="B47" s="1">
        <v>2400</v>
      </c>
      <c r="C47" s="428">
        <f t="shared" si="3"/>
        <v>89.948869999999999</v>
      </c>
      <c r="D47" s="468">
        <f t="shared" si="3"/>
        <v>201.06218000000001</v>
      </c>
      <c r="E47" s="605">
        <f t="shared" si="3"/>
        <v>377.78525400000001</v>
      </c>
      <c r="F47" s="428">
        <f t="shared" si="3"/>
        <v>26.455549999999999</v>
      </c>
      <c r="G47" s="468">
        <f t="shared" si="3"/>
        <v>37.037770000000002</v>
      </c>
      <c r="H47" s="605">
        <f t="shared" si="3"/>
        <v>377.78525400000001</v>
      </c>
      <c r="I47" s="429">
        <f t="shared" si="4"/>
        <v>351.32970399999999</v>
      </c>
      <c r="J47" s="468">
        <f t="shared" si="1"/>
        <v>421.5956448</v>
      </c>
      <c r="K47" s="605">
        <f t="shared" si="2"/>
        <v>548.07433823999997</v>
      </c>
      <c r="L47" t="s">
        <v>735</v>
      </c>
      <c r="Q47" s="645">
        <f>250*1.03^3</f>
        <v>273.18175000000002</v>
      </c>
    </row>
    <row r="48" spans="1:17" x14ac:dyDescent="0.25">
      <c r="A48" s="24" t="s">
        <v>104</v>
      </c>
      <c r="B48" s="1">
        <v>3200</v>
      </c>
      <c r="C48" s="428">
        <f t="shared" si="3"/>
        <v>89.948869999999999</v>
      </c>
      <c r="D48" s="468">
        <f t="shared" si="3"/>
        <v>201.06218000000001</v>
      </c>
      <c r="E48" s="605">
        <f t="shared" si="3"/>
        <v>377.78525400000001</v>
      </c>
      <c r="F48" s="428">
        <f t="shared" si="3"/>
        <v>26.455549999999999</v>
      </c>
      <c r="G48" s="468">
        <f t="shared" si="3"/>
        <v>37.037770000000002</v>
      </c>
      <c r="H48" s="605">
        <f t="shared" si="3"/>
        <v>377.78525400000001</v>
      </c>
      <c r="I48" s="429">
        <f t="shared" si="4"/>
        <v>210.7978224</v>
      </c>
      <c r="J48" s="468">
        <f t="shared" si="1"/>
        <v>252.95738688</v>
      </c>
      <c r="K48" s="605">
        <f t="shared" si="2"/>
        <v>328.84460294400003</v>
      </c>
      <c r="L48" t="s">
        <v>735</v>
      </c>
      <c r="Q48" s="645">
        <f>150*1.03^3</f>
        <v>163.90905000000001</v>
      </c>
    </row>
    <row r="49" spans="1:17" x14ac:dyDescent="0.25">
      <c r="A49" s="24" t="s">
        <v>105</v>
      </c>
      <c r="B49" s="1">
        <v>3600</v>
      </c>
      <c r="C49" s="428">
        <f t="shared" si="3"/>
        <v>89.948869999999999</v>
      </c>
      <c r="D49" s="468">
        <f t="shared" si="3"/>
        <v>201.06218000000001</v>
      </c>
      <c r="E49" s="605">
        <f t="shared" si="3"/>
        <v>377.78525400000001</v>
      </c>
      <c r="F49" s="428">
        <f t="shared" si="3"/>
        <v>26.455549999999999</v>
      </c>
      <c r="G49" s="468">
        <f t="shared" si="3"/>
        <v>37.037770000000002</v>
      </c>
      <c r="H49" s="605">
        <f t="shared" si="3"/>
        <v>377.78525400000001</v>
      </c>
      <c r="I49" s="429">
        <f t="shared" si="4"/>
        <v>210.7978224</v>
      </c>
      <c r="J49" s="468">
        <f t="shared" si="1"/>
        <v>252.95738688</v>
      </c>
      <c r="K49" s="605">
        <f t="shared" si="2"/>
        <v>328.84460294400003</v>
      </c>
      <c r="L49" t="s">
        <v>735</v>
      </c>
      <c r="Q49" s="645">
        <f>150*1.03^3</f>
        <v>163.90905000000001</v>
      </c>
    </row>
    <row r="50" spans="1:17" x14ac:dyDescent="0.25">
      <c r="A50" s="26" t="s">
        <v>106</v>
      </c>
      <c r="B50" s="71">
        <v>2400</v>
      </c>
      <c r="C50" s="435">
        <f t="shared" si="3"/>
        <v>89.948869999999999</v>
      </c>
      <c r="D50" s="606">
        <f t="shared" si="3"/>
        <v>201.06218000000001</v>
      </c>
      <c r="E50" s="607">
        <f t="shared" si="3"/>
        <v>377.78525400000001</v>
      </c>
      <c r="F50" s="435">
        <f t="shared" si="3"/>
        <v>26.455549999999999</v>
      </c>
      <c r="G50" s="606">
        <f t="shared" si="3"/>
        <v>37.037770000000002</v>
      </c>
      <c r="H50" s="607">
        <f t="shared" si="3"/>
        <v>377.78525400000001</v>
      </c>
      <c r="I50" s="430">
        <f t="shared" si="4"/>
        <v>263.49727799999999</v>
      </c>
      <c r="J50" s="606">
        <f t="shared" si="1"/>
        <v>316.19673359999996</v>
      </c>
      <c r="K50" s="607">
        <f t="shared" si="2"/>
        <v>411.05575367999995</v>
      </c>
      <c r="L50" t="s">
        <v>735</v>
      </c>
      <c r="Q50" s="646">
        <f>187.5*1.03^3</f>
        <v>204.8863125</v>
      </c>
    </row>
    <row r="52" spans="1:17" x14ac:dyDescent="0.25">
      <c r="A52" s="343" t="s">
        <v>573</v>
      </c>
      <c r="B52" s="66"/>
      <c r="C52" s="66"/>
      <c r="D52" s="66"/>
      <c r="E52" s="66"/>
      <c r="F52" s="66"/>
      <c r="G52" s="66"/>
      <c r="H52" s="67"/>
      <c r="I52" s="432">
        <f>500*B35/B39</f>
        <v>3.3069437499999998</v>
      </c>
      <c r="J52" s="432">
        <f>(I52+K52)/2</f>
        <v>4.9604156250000004</v>
      </c>
      <c r="K52" s="431">
        <f>3000*B35/B39/3</f>
        <v>6.6138875000000006</v>
      </c>
      <c r="L52" t="s">
        <v>734</v>
      </c>
    </row>
    <row r="53" spans="1:17" x14ac:dyDescent="0.25">
      <c r="A53" s="344" t="s">
        <v>367</v>
      </c>
      <c r="B53" s="1"/>
      <c r="C53" s="1"/>
      <c r="D53" s="1"/>
      <c r="E53" s="1"/>
      <c r="F53" s="1"/>
      <c r="G53" s="1"/>
      <c r="H53" s="25"/>
      <c r="I53" s="431">
        <f>5000*B35/B40</f>
        <v>5.8790111111111107</v>
      </c>
      <c r="J53" s="432">
        <f>(I53+K53)/2</f>
        <v>9.9943188888888894</v>
      </c>
      <c r="K53" s="431">
        <f>1000*12*B35/B40</f>
        <v>14.109626666666667</v>
      </c>
      <c r="L53" t="s">
        <v>734</v>
      </c>
    </row>
    <row r="54" spans="1:17" x14ac:dyDescent="0.25">
      <c r="A54" s="345" t="s">
        <v>368</v>
      </c>
      <c r="B54" s="71"/>
      <c r="C54" s="71"/>
      <c r="D54" s="71"/>
      <c r="E54" s="71"/>
      <c r="F54" s="71"/>
      <c r="G54" s="71"/>
      <c r="H54" s="27"/>
      <c r="I54" s="329">
        <v>0</v>
      </c>
      <c r="J54" s="329">
        <v>0</v>
      </c>
      <c r="K54" s="329">
        <v>0</v>
      </c>
    </row>
    <row r="55" spans="1:17" x14ac:dyDescent="0.25">
      <c r="A55" s="196"/>
    </row>
    <row r="56" spans="1:17" x14ac:dyDescent="0.25">
      <c r="A56" s="196"/>
    </row>
    <row r="57" spans="1:17" s="637" customFormat="1" ht="18.75" x14ac:dyDescent="0.3">
      <c r="A57" s="636" t="s">
        <v>548</v>
      </c>
    </row>
    <row r="58" spans="1:17" s="637" customFormat="1" x14ac:dyDescent="0.25"/>
    <row r="59" spans="1:17" s="637" customFormat="1" ht="21" x14ac:dyDescent="0.3">
      <c r="A59" s="638" t="s">
        <v>1022</v>
      </c>
    </row>
    <row r="60" spans="1:17" s="637" customFormat="1" x14ac:dyDescent="0.25">
      <c r="A60" s="637" t="s">
        <v>83</v>
      </c>
    </row>
    <row r="61" spans="1:17" s="637" customFormat="1" x14ac:dyDescent="0.25">
      <c r="A61" s="637" t="s">
        <v>84</v>
      </c>
    </row>
    <row r="62" spans="1:17" s="637" customFormat="1" x14ac:dyDescent="0.25"/>
    <row r="63" spans="1:17" s="637" customFormat="1" x14ac:dyDescent="0.25">
      <c r="A63" s="639" t="s">
        <v>69</v>
      </c>
    </row>
    <row r="64" spans="1:17" s="637" customFormat="1" x14ac:dyDescent="0.25">
      <c r="A64" s="637" t="s">
        <v>1023</v>
      </c>
    </row>
    <row r="65" spans="1:7" s="637" customFormat="1" x14ac:dyDescent="0.25">
      <c r="A65" s="637" t="s">
        <v>1024</v>
      </c>
    </row>
    <row r="66" spans="1:7" s="637" customFormat="1" x14ac:dyDescent="0.25">
      <c r="A66" s="637" t="s">
        <v>70</v>
      </c>
    </row>
    <row r="67" spans="1:7" s="637" customFormat="1" x14ac:dyDescent="0.25">
      <c r="A67" s="637" t="s">
        <v>71</v>
      </c>
    </row>
    <row r="68" spans="1:7" s="637" customFormat="1" x14ac:dyDescent="0.25"/>
    <row r="69" spans="1:7" s="637" customFormat="1" x14ac:dyDescent="0.25"/>
    <row r="70" spans="1:7" s="637" customFormat="1" ht="21" x14ac:dyDescent="0.3">
      <c r="A70" s="638" t="s">
        <v>1025</v>
      </c>
    </row>
    <row r="71" spans="1:7" s="637" customFormat="1" x14ac:dyDescent="0.25">
      <c r="A71" s="637" t="s">
        <v>87</v>
      </c>
    </row>
    <row r="72" spans="1:7" s="637" customFormat="1" x14ac:dyDescent="0.25">
      <c r="A72" s="637" t="s">
        <v>84</v>
      </c>
    </row>
    <row r="73" spans="1:7" s="637" customFormat="1" x14ac:dyDescent="0.25"/>
    <row r="74" spans="1:7" s="637" customFormat="1" x14ac:dyDescent="0.25">
      <c r="A74" s="639" t="s">
        <v>69</v>
      </c>
    </row>
    <row r="75" spans="1:7" s="637" customFormat="1" x14ac:dyDescent="0.25">
      <c r="A75" s="637" t="s">
        <v>1026</v>
      </c>
      <c r="G75" s="637" t="s">
        <v>73</v>
      </c>
    </row>
    <row r="76" spans="1:7" s="637" customFormat="1" x14ac:dyDescent="0.25">
      <c r="A76" s="637" t="s">
        <v>1027</v>
      </c>
      <c r="G76" s="637" t="s">
        <v>74</v>
      </c>
    </row>
    <row r="77" spans="1:7" s="637" customFormat="1" x14ac:dyDescent="0.25"/>
    <row r="78" spans="1:7" s="637" customFormat="1" x14ac:dyDescent="0.25">
      <c r="A78" s="637" t="s">
        <v>72</v>
      </c>
    </row>
    <row r="79" spans="1:7" s="637" customFormat="1" ht="21" x14ac:dyDescent="0.3">
      <c r="A79" s="638" t="s">
        <v>1028</v>
      </c>
    </row>
    <row r="80" spans="1:7" s="637" customFormat="1" x14ac:dyDescent="0.25">
      <c r="A80" s="637" t="s">
        <v>88</v>
      </c>
    </row>
    <row r="81" spans="1:6" s="637" customFormat="1" x14ac:dyDescent="0.25">
      <c r="A81" s="637" t="s">
        <v>84</v>
      </c>
    </row>
    <row r="82" spans="1:6" s="637" customFormat="1" x14ac:dyDescent="0.25"/>
    <row r="83" spans="1:6" s="637" customFormat="1" x14ac:dyDescent="0.25">
      <c r="A83" s="639" t="s">
        <v>69</v>
      </c>
    </row>
    <row r="84" spans="1:6" s="637" customFormat="1" x14ac:dyDescent="0.25">
      <c r="A84" s="637" t="s">
        <v>1029</v>
      </c>
      <c r="F84" s="637" t="s">
        <v>1030</v>
      </c>
    </row>
    <row r="85" spans="1:6" s="637" customFormat="1" x14ac:dyDescent="0.25">
      <c r="A85" s="637" t="s">
        <v>1031</v>
      </c>
      <c r="F85" s="637" t="s">
        <v>1032</v>
      </c>
    </row>
    <row r="86" spans="1:6" s="637" customFormat="1" x14ac:dyDescent="0.25"/>
    <row r="87" spans="1:6" s="637" customFormat="1" x14ac:dyDescent="0.25">
      <c r="A87" s="637" t="s">
        <v>89</v>
      </c>
    </row>
    <row r="88" spans="1:6" s="637" customFormat="1" x14ac:dyDescent="0.25">
      <c r="A88" s="637" t="s">
        <v>90</v>
      </c>
    </row>
  </sheetData>
  <mergeCells count="3">
    <mergeCell ref="C36:E36"/>
    <mergeCell ref="F36:H36"/>
    <mergeCell ref="I36:K36"/>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67"/>
  <sheetViews>
    <sheetView zoomScale="90" zoomScaleNormal="90" workbookViewId="0">
      <selection activeCell="A19" sqref="A19:B19"/>
    </sheetView>
  </sheetViews>
  <sheetFormatPr baseColWidth="10" defaultColWidth="9.140625" defaultRowHeight="15" x14ac:dyDescent="0.25"/>
  <cols>
    <col min="1" max="1" width="26.7109375" customWidth="1"/>
    <col min="2" max="2" width="19" customWidth="1"/>
  </cols>
  <sheetData>
    <row r="1" spans="1:2" x14ac:dyDescent="0.25">
      <c r="A1" s="16" t="s">
        <v>550</v>
      </c>
    </row>
    <row r="2" spans="1:2" s="225" customFormat="1" x14ac:dyDescent="0.25">
      <c r="A2" s="225" t="s">
        <v>362</v>
      </c>
    </row>
    <row r="4" spans="1:2" x14ac:dyDescent="0.25">
      <c r="A4" s="196" t="s">
        <v>517</v>
      </c>
    </row>
    <row r="5" spans="1:2" x14ac:dyDescent="0.25">
      <c r="A5" t="s">
        <v>604</v>
      </c>
    </row>
    <row r="6" spans="1:2" x14ac:dyDescent="0.25">
      <c r="A6" t="s">
        <v>518</v>
      </c>
      <c r="B6" t="s">
        <v>524</v>
      </c>
    </row>
    <row r="7" spans="1:2" x14ac:dyDescent="0.25">
      <c r="A7" t="s">
        <v>519</v>
      </c>
      <c r="B7" t="s">
        <v>525</v>
      </c>
    </row>
    <row r="8" spans="1:2" x14ac:dyDescent="0.25">
      <c r="A8" t="s">
        <v>520</v>
      </c>
      <c r="B8" t="s">
        <v>523</v>
      </c>
    </row>
    <row r="10" spans="1:2" x14ac:dyDescent="0.25">
      <c r="A10" t="s">
        <v>606</v>
      </c>
    </row>
    <row r="12" spans="1:2" x14ac:dyDescent="0.25">
      <c r="A12" s="196" t="s">
        <v>516</v>
      </c>
    </row>
    <row r="13" spans="1:2" x14ac:dyDescent="0.25">
      <c r="A13" t="s">
        <v>521</v>
      </c>
    </row>
    <row r="14" spans="1:2" x14ac:dyDescent="0.25">
      <c r="A14" t="s">
        <v>518</v>
      </c>
      <c r="B14" t="s">
        <v>526</v>
      </c>
    </row>
    <row r="15" spans="1:2" x14ac:dyDescent="0.25">
      <c r="A15" t="s">
        <v>519</v>
      </c>
      <c r="B15" t="s">
        <v>1063</v>
      </c>
    </row>
    <row r="16" spans="1:2" x14ac:dyDescent="0.25">
      <c r="A16" t="s">
        <v>520</v>
      </c>
      <c r="B16" t="s">
        <v>605</v>
      </c>
    </row>
    <row r="18" spans="1:10" x14ac:dyDescent="0.25">
      <c r="A18" t="s">
        <v>607</v>
      </c>
    </row>
    <row r="19" spans="1:10" x14ac:dyDescent="0.25">
      <c r="A19" s="196" t="s">
        <v>1112</v>
      </c>
      <c r="B19">
        <v>1.058222</v>
      </c>
    </row>
    <row r="20" spans="1:10" x14ac:dyDescent="0.25">
      <c r="C20" s="697" t="s">
        <v>517</v>
      </c>
      <c r="D20" s="697"/>
      <c r="E20" s="697"/>
      <c r="F20" s="697" t="s">
        <v>516</v>
      </c>
      <c r="G20" s="697"/>
      <c r="H20" s="697"/>
    </row>
    <row r="21" spans="1:10" x14ac:dyDescent="0.25">
      <c r="A21" s="73" t="s">
        <v>95</v>
      </c>
      <c r="B21" s="63" t="s">
        <v>163</v>
      </c>
      <c r="C21" s="17" t="s">
        <v>3</v>
      </c>
      <c r="D21" s="17" t="s">
        <v>143</v>
      </c>
      <c r="E21" s="17" t="s">
        <v>4</v>
      </c>
      <c r="F21" s="17" t="s">
        <v>3</v>
      </c>
      <c r="G21" s="17" t="s">
        <v>143</v>
      </c>
      <c r="H21" s="17" t="s">
        <v>4</v>
      </c>
    </row>
    <row r="22" spans="1:10" x14ac:dyDescent="0.25">
      <c r="A22" s="68"/>
      <c r="B22" s="69" t="s">
        <v>174</v>
      </c>
      <c r="C22" s="17" t="s">
        <v>522</v>
      </c>
      <c r="D22" s="17" t="s">
        <v>522</v>
      </c>
      <c r="E22" s="17" t="s">
        <v>522</v>
      </c>
      <c r="F22" s="18" t="s">
        <v>522</v>
      </c>
      <c r="G22" s="18" t="s">
        <v>522</v>
      </c>
      <c r="H22" s="18" t="s">
        <v>522</v>
      </c>
      <c r="I22" s="335" t="s">
        <v>527</v>
      </c>
      <c r="J22" s="1"/>
    </row>
    <row r="23" spans="1:10" x14ac:dyDescent="0.25">
      <c r="A23" s="321" t="s">
        <v>11</v>
      </c>
      <c r="B23" s="326">
        <v>160</v>
      </c>
      <c r="C23" s="327"/>
      <c r="D23" s="322"/>
      <c r="E23" s="322"/>
      <c r="F23" s="327"/>
      <c r="G23" s="322"/>
      <c r="H23" s="326"/>
    </row>
    <row r="24" spans="1:10" x14ac:dyDescent="0.25">
      <c r="A24" s="189" t="s">
        <v>1</v>
      </c>
      <c r="B24" s="190">
        <v>900</v>
      </c>
      <c r="C24" s="328"/>
      <c r="D24" s="323"/>
      <c r="E24" s="323"/>
      <c r="F24" s="328"/>
      <c r="G24" s="323"/>
      <c r="H24" s="190"/>
    </row>
    <row r="25" spans="1:10" x14ac:dyDescent="0.25">
      <c r="A25" s="24" t="s">
        <v>97</v>
      </c>
      <c r="B25" s="25">
        <v>300</v>
      </c>
      <c r="C25" s="428">
        <f>E75*1.2*B19</f>
        <v>407.62711439999998</v>
      </c>
      <c r="D25" s="468">
        <f>G75*1.2*B19</f>
        <v>480.00949919999994</v>
      </c>
      <c r="E25" s="468">
        <f>C110*B19</f>
        <v>721.707404</v>
      </c>
      <c r="F25" s="428">
        <f>(1+(C25-C$26)/C$26)*F$26</f>
        <v>83.843283582089555</v>
      </c>
      <c r="G25" s="468">
        <f>(1+(D25-D$26)/D$26)*G$26</f>
        <v>123.1578947368421</v>
      </c>
      <c r="H25" s="605">
        <f>(1+(E25-E$26)/E$26)*H$26</f>
        <v>392.64080100125159</v>
      </c>
    </row>
    <row r="26" spans="1:10" x14ac:dyDescent="0.25">
      <c r="A26" s="24" t="s">
        <v>98</v>
      </c>
      <c r="B26" s="25">
        <v>3600</v>
      </c>
      <c r="C26" s="428">
        <f>C67*1.2*B19</f>
        <v>340.32419519999996</v>
      </c>
      <c r="D26" s="468">
        <f>G67*1.2*B19</f>
        <v>506.67669359999996</v>
      </c>
      <c r="E26" s="468">
        <f>C107*B19</f>
        <v>845.51937799999996</v>
      </c>
      <c r="F26" s="324">
        <f>70</f>
        <v>70</v>
      </c>
      <c r="G26" s="1">
        <f>130</f>
        <v>130</v>
      </c>
      <c r="H26" s="25">
        <f>460</f>
        <v>460</v>
      </c>
    </row>
    <row r="27" spans="1:10" x14ac:dyDescent="0.25">
      <c r="A27" s="24" t="s">
        <v>99</v>
      </c>
      <c r="B27" s="25">
        <v>2400</v>
      </c>
      <c r="C27" s="428">
        <f>E77*1.2*B19</f>
        <v>360.64205759999999</v>
      </c>
      <c r="D27" s="468">
        <f>G77*1.2*B19</f>
        <v>421.5956448</v>
      </c>
      <c r="E27" s="468">
        <f>C111*B19</f>
        <v>790.49183400000004</v>
      </c>
      <c r="F27" s="428">
        <f t="shared" ref="F27:H34" si="0">(1+(C27-C$26)/C$26)*F$26</f>
        <v>74.179104477611958</v>
      </c>
      <c r="G27" s="468">
        <f t="shared" si="0"/>
        <v>108.17042606516291</v>
      </c>
      <c r="H27" s="605">
        <f t="shared" si="0"/>
        <v>430.06257822277848</v>
      </c>
    </row>
    <row r="28" spans="1:10" x14ac:dyDescent="0.25">
      <c r="A28" s="24" t="s">
        <v>100</v>
      </c>
      <c r="B28" s="25">
        <v>3600</v>
      </c>
      <c r="C28" s="428">
        <f>E79*1.2*B19</f>
        <v>438.10390799999999</v>
      </c>
      <c r="D28" s="468">
        <f>G79*1.2*B19</f>
        <v>546.042552</v>
      </c>
      <c r="E28" s="468">
        <f>C113*B19</f>
        <v>839.17004599999996</v>
      </c>
      <c r="F28" s="428">
        <f t="shared" si="0"/>
        <v>90.111940298507477</v>
      </c>
      <c r="G28" s="468">
        <f t="shared" si="0"/>
        <v>140.10025062656644</v>
      </c>
      <c r="H28" s="605">
        <f t="shared" si="0"/>
        <v>456.54568210262829</v>
      </c>
    </row>
    <row r="29" spans="1:10" x14ac:dyDescent="0.25">
      <c r="A29" s="24" t="s">
        <v>101</v>
      </c>
      <c r="B29" s="25">
        <v>3600</v>
      </c>
      <c r="C29" s="428">
        <f>E89*1.2*B19</f>
        <v>634.93319999999994</v>
      </c>
      <c r="D29" s="468">
        <f>E89*1.2*B19</f>
        <v>634.93319999999994</v>
      </c>
      <c r="E29" s="468">
        <f>C115*B19</f>
        <v>814.83093999999994</v>
      </c>
      <c r="F29" s="428">
        <f t="shared" si="0"/>
        <v>130.59701492537314</v>
      </c>
      <c r="G29" s="468">
        <f>(1+(D29-D$26)/D$26)*G$26</f>
        <v>162.90726817042605</v>
      </c>
      <c r="H29" s="605">
        <f t="shared" si="0"/>
        <v>443.30413016270336</v>
      </c>
    </row>
    <row r="30" spans="1:10" x14ac:dyDescent="0.25">
      <c r="A30" s="24" t="s">
        <v>102</v>
      </c>
      <c r="B30" s="25">
        <v>2400</v>
      </c>
      <c r="C30" s="428">
        <f>E91*1.2*B19</f>
        <v>532.07402159999992</v>
      </c>
      <c r="D30" s="468">
        <f>G91*1.2*B19</f>
        <v>612.07560479999995</v>
      </c>
      <c r="E30" s="468">
        <f>C115*B19</f>
        <v>814.83093999999994</v>
      </c>
      <c r="F30" s="428">
        <f t="shared" si="0"/>
        <v>109.44029850746267</v>
      </c>
      <c r="G30" s="468">
        <f t="shared" si="0"/>
        <v>157.04260651629073</v>
      </c>
      <c r="H30" s="605">
        <f t="shared" si="0"/>
        <v>443.30413016270336</v>
      </c>
    </row>
    <row r="31" spans="1:10" x14ac:dyDescent="0.25">
      <c r="A31" s="24" t="s">
        <v>103</v>
      </c>
      <c r="B31" s="25">
        <v>2400</v>
      </c>
      <c r="C31" s="428">
        <f>C73*1.2*B19</f>
        <v>327.62553119999995</v>
      </c>
      <c r="D31" s="468">
        <f>G73*1.2*B19</f>
        <v>513.02602559999991</v>
      </c>
      <c r="E31" s="468">
        <f>C109*B19</f>
        <v>1318.5446119999999</v>
      </c>
      <c r="F31" s="428">
        <f t="shared" si="0"/>
        <v>67.388059701492537</v>
      </c>
      <c r="G31" s="468">
        <f t="shared" si="0"/>
        <v>131.62907268170426</v>
      </c>
      <c r="H31" s="605">
        <f t="shared" si="0"/>
        <v>717.34668335419269</v>
      </c>
    </row>
    <row r="32" spans="1:10" x14ac:dyDescent="0.25">
      <c r="A32" s="24" t="s">
        <v>104</v>
      </c>
      <c r="B32" s="25">
        <v>3200</v>
      </c>
      <c r="C32" s="428">
        <f>C81*1.2*B19</f>
        <v>401.27778239999998</v>
      </c>
      <c r="D32" s="468">
        <f>G81*1.2*B19</f>
        <v>458.42177040000001</v>
      </c>
      <c r="E32" s="468">
        <f>C114*B19</f>
        <v>542.867886</v>
      </c>
      <c r="F32" s="428">
        <f t="shared" si="0"/>
        <v>82.53731343283583</v>
      </c>
      <c r="G32" s="468">
        <f t="shared" si="0"/>
        <v>117.61904761904763</v>
      </c>
      <c r="H32" s="605">
        <f t="shared" si="0"/>
        <v>295.3441802252816</v>
      </c>
    </row>
    <row r="33" spans="1:17" x14ac:dyDescent="0.25">
      <c r="A33" s="24" t="s">
        <v>105</v>
      </c>
      <c r="B33" s="25">
        <v>3600</v>
      </c>
      <c r="C33" s="428">
        <f>C71*1.2*B19</f>
        <v>238.73488319999998</v>
      </c>
      <c r="D33" s="468">
        <f>G71*1.2*B19</f>
        <v>552.391884</v>
      </c>
      <c r="E33" s="468">
        <f>C108*B19</f>
        <v>958.74913200000003</v>
      </c>
      <c r="F33" s="428">
        <f t="shared" si="0"/>
        <v>49.104477611940297</v>
      </c>
      <c r="G33" s="468">
        <f t="shared" si="0"/>
        <v>141.72932330827066</v>
      </c>
      <c r="H33" s="605">
        <f t="shared" si="0"/>
        <v>521.60200250312892</v>
      </c>
    </row>
    <row r="34" spans="1:17" x14ac:dyDescent="0.25">
      <c r="A34" s="26" t="s">
        <v>106</v>
      </c>
      <c r="B34" s="27">
        <v>2400</v>
      </c>
      <c r="C34" s="435">
        <f>E85*1.2*B19</f>
        <v>642.5523983999999</v>
      </c>
      <c r="D34" s="606">
        <f>G85*1.2*B19</f>
        <v>685.72785599999997</v>
      </c>
      <c r="E34" s="606">
        <f>C108*B19</f>
        <v>958.74913200000003</v>
      </c>
      <c r="F34" s="435">
        <f t="shared" si="0"/>
        <v>132.1641791044776</v>
      </c>
      <c r="G34" s="606">
        <f t="shared" si="0"/>
        <v>175.93984962406017</v>
      </c>
      <c r="H34" s="607">
        <f t="shared" si="0"/>
        <v>521.60200250312892</v>
      </c>
    </row>
    <row r="36" spans="1:17" x14ac:dyDescent="0.25">
      <c r="A36" s="648" t="s">
        <v>608</v>
      </c>
      <c r="B36" s="649"/>
      <c r="C36" s="650"/>
      <c r="D36" s="649"/>
      <c r="E36" s="651"/>
      <c r="F36" s="650"/>
      <c r="G36" s="649"/>
      <c r="H36" s="651"/>
    </row>
    <row r="37" spans="1:17" x14ac:dyDescent="0.25">
      <c r="A37" s="15" t="s">
        <v>971</v>
      </c>
      <c r="J37" s="614" t="s">
        <v>972</v>
      </c>
    </row>
    <row r="38" spans="1:17" x14ac:dyDescent="0.25">
      <c r="A38" s="15" t="s">
        <v>1078</v>
      </c>
      <c r="D38">
        <v>8760</v>
      </c>
      <c r="E38" t="s">
        <v>1074</v>
      </c>
      <c r="J38" s="614" t="s">
        <v>973</v>
      </c>
    </row>
    <row r="39" spans="1:17" x14ac:dyDescent="0.25">
      <c r="A39" s="15" t="s">
        <v>1075</v>
      </c>
      <c r="D39" s="561">
        <f>40000/D38</f>
        <v>4.5662100456621006</v>
      </c>
      <c r="E39" t="s">
        <v>1077</v>
      </c>
      <c r="J39" s="614" t="s">
        <v>974</v>
      </c>
    </row>
    <row r="40" spans="1:17" x14ac:dyDescent="0.25">
      <c r="A40" s="15" t="s">
        <v>1076</v>
      </c>
      <c r="D40" s="561">
        <f>54000/D38</f>
        <v>6.1643835616438354</v>
      </c>
      <c r="E40" t="s">
        <v>1077</v>
      </c>
      <c r="J40" s="614"/>
    </row>
    <row r="41" spans="1:17" x14ac:dyDescent="0.25">
      <c r="A41" s="15" t="s">
        <v>1079</v>
      </c>
      <c r="D41">
        <v>15</v>
      </c>
      <c r="E41" t="s">
        <v>1077</v>
      </c>
      <c r="J41" s="614"/>
    </row>
    <row r="42" spans="1:17" x14ac:dyDescent="0.25">
      <c r="A42" s="15" t="s">
        <v>1080</v>
      </c>
      <c r="D42">
        <f>D41/D39</f>
        <v>3.2849999999999997</v>
      </c>
      <c r="E42" t="s">
        <v>1082</v>
      </c>
      <c r="J42" s="614"/>
    </row>
    <row r="43" spans="1:17" x14ac:dyDescent="0.25">
      <c r="A43" s="15" t="s">
        <v>1081</v>
      </c>
      <c r="D43">
        <f>D41/D40</f>
        <v>2.4333333333333336</v>
      </c>
      <c r="E43" t="s">
        <v>1082</v>
      </c>
      <c r="J43" s="614"/>
    </row>
    <row r="44" spans="1:17" x14ac:dyDescent="0.25">
      <c r="A44" s="15" t="s">
        <v>1084</v>
      </c>
      <c r="D44">
        <f>3600*12/36</f>
        <v>1200</v>
      </c>
      <c r="E44" t="s">
        <v>1083</v>
      </c>
      <c r="F44" t="s">
        <v>1086</v>
      </c>
      <c r="H44">
        <f>D44*43</f>
        <v>51600</v>
      </c>
      <c r="I44" t="s">
        <v>1088</v>
      </c>
      <c r="J44" s="614"/>
      <c r="M44">
        <f>D44*50</f>
        <v>60000</v>
      </c>
      <c r="O44" t="s">
        <v>1089</v>
      </c>
      <c r="Q44">
        <f>(H44+M44)*D42</f>
        <v>366605.99999999994</v>
      </c>
    </row>
    <row r="45" spans="1:17" x14ac:dyDescent="0.25">
      <c r="A45" s="15" t="s">
        <v>1085</v>
      </c>
      <c r="D45" s="555">
        <f>3600*8/28</f>
        <v>1028.5714285714287</v>
      </c>
      <c r="E45" t="s">
        <v>1083</v>
      </c>
      <c r="F45" t="s">
        <v>1086</v>
      </c>
      <c r="H45">
        <f>D45*60</f>
        <v>61714.285714285717</v>
      </c>
      <c r="I45" t="s">
        <v>1087</v>
      </c>
      <c r="J45" s="614"/>
      <c r="M45">
        <f>D45*50</f>
        <v>51428.571428571435</v>
      </c>
      <c r="O45" t="s">
        <v>1089</v>
      </c>
      <c r="Q45">
        <f>(H45+M45)*D43</f>
        <v>275314.2857142858</v>
      </c>
    </row>
    <row r="46" spans="1:17" x14ac:dyDescent="0.25">
      <c r="A46" s="15"/>
      <c r="J46" s="614"/>
      <c r="O46" t="s">
        <v>1090</v>
      </c>
      <c r="Q46">
        <f>Q44-Q45</f>
        <v>91291.714285714144</v>
      </c>
    </row>
    <row r="47" spans="1:17" x14ac:dyDescent="0.25">
      <c r="J47" s="614"/>
      <c r="O47" t="s">
        <v>1091</v>
      </c>
      <c r="Q47">
        <f>Q46/D41</f>
        <v>6086.1142857142759</v>
      </c>
    </row>
    <row r="48" spans="1:17" x14ac:dyDescent="0.25">
      <c r="A48" t="s">
        <v>975</v>
      </c>
      <c r="J48" s="614"/>
      <c r="O48" s="652" t="s">
        <v>371</v>
      </c>
      <c r="P48" s="652"/>
      <c r="Q48" s="653">
        <f>Q47/3600</f>
        <v>1.6905873015872988</v>
      </c>
    </row>
    <row r="49" spans="1:15" x14ac:dyDescent="0.25">
      <c r="A49" t="s">
        <v>976</v>
      </c>
      <c r="J49" s="614"/>
      <c r="O49" t="s">
        <v>1092</v>
      </c>
    </row>
    <row r="50" spans="1:15" x14ac:dyDescent="0.25">
      <c r="A50" t="s">
        <v>1062</v>
      </c>
    </row>
    <row r="52" spans="1:15" ht="18.75" x14ac:dyDescent="0.3">
      <c r="A52" s="554" t="s">
        <v>835</v>
      </c>
    </row>
    <row r="53" spans="1:15" x14ac:dyDescent="0.25">
      <c r="A53" s="4" t="s">
        <v>879</v>
      </c>
    </row>
    <row r="54" spans="1:15" x14ac:dyDescent="0.25">
      <c r="A54" s="4" t="s">
        <v>910</v>
      </c>
    </row>
    <row r="55" spans="1:15" x14ac:dyDescent="0.25">
      <c r="A55" s="4" t="s">
        <v>911</v>
      </c>
    </row>
    <row r="56" spans="1:15" x14ac:dyDescent="0.25">
      <c r="A56" s="4" t="s">
        <v>912</v>
      </c>
    </row>
    <row r="57" spans="1:15" x14ac:dyDescent="0.25">
      <c r="A57" s="4"/>
    </row>
    <row r="58" spans="1:15" x14ac:dyDescent="0.25">
      <c r="A58" s="4" t="s">
        <v>839</v>
      </c>
      <c r="B58" s="4" t="s">
        <v>870</v>
      </c>
      <c r="C58" s="4" t="s">
        <v>837</v>
      </c>
      <c r="D58" s="4"/>
      <c r="E58" s="4" t="s">
        <v>838</v>
      </c>
      <c r="F58" s="4"/>
      <c r="G58" s="4" t="s">
        <v>840</v>
      </c>
    </row>
    <row r="59" spans="1:15" x14ac:dyDescent="0.25">
      <c r="A59" s="4"/>
      <c r="B59" s="4"/>
      <c r="C59" s="4" t="s">
        <v>841</v>
      </c>
      <c r="D59" s="4"/>
      <c r="E59" s="4" t="s">
        <v>841</v>
      </c>
      <c r="F59" s="4"/>
      <c r="G59" s="4" t="s">
        <v>841</v>
      </c>
    </row>
    <row r="60" spans="1:15" x14ac:dyDescent="0.25">
      <c r="A60" t="s">
        <v>836</v>
      </c>
      <c r="B60" t="s">
        <v>871</v>
      </c>
      <c r="C60" t="s">
        <v>842</v>
      </c>
      <c r="E60" t="s">
        <v>843</v>
      </c>
      <c r="G60" t="s">
        <v>844</v>
      </c>
    </row>
    <row r="61" spans="1:15" x14ac:dyDescent="0.25">
      <c r="C61">
        <v>209</v>
      </c>
      <c r="E61">
        <v>274</v>
      </c>
      <c r="G61">
        <v>296</v>
      </c>
    </row>
    <row r="62" spans="1:15" x14ac:dyDescent="0.25">
      <c r="A62" t="s">
        <v>845</v>
      </c>
      <c r="B62" t="s">
        <v>871</v>
      </c>
      <c r="C62" t="s">
        <v>846</v>
      </c>
      <c r="E62" t="s">
        <v>847</v>
      </c>
      <c r="G62" t="s">
        <v>848</v>
      </c>
    </row>
    <row r="63" spans="1:15" x14ac:dyDescent="0.25">
      <c r="C63">
        <v>109</v>
      </c>
      <c r="E63">
        <v>159</v>
      </c>
      <c r="G63">
        <v>258</v>
      </c>
    </row>
    <row r="64" spans="1:15" x14ac:dyDescent="0.25">
      <c r="A64" t="s">
        <v>849</v>
      </c>
      <c r="B64" t="s">
        <v>871</v>
      </c>
      <c r="C64" t="s">
        <v>846</v>
      </c>
      <c r="E64" t="s">
        <v>847</v>
      </c>
      <c r="G64" t="s">
        <v>850</v>
      </c>
    </row>
    <row r="65" spans="1:7" x14ac:dyDescent="0.25">
      <c r="C65">
        <v>90</v>
      </c>
      <c r="E65">
        <v>117</v>
      </c>
      <c r="G65">
        <v>142</v>
      </c>
    </row>
    <row r="66" spans="1:7" x14ac:dyDescent="0.25">
      <c r="A66" t="s">
        <v>2</v>
      </c>
      <c r="B66" t="s">
        <v>871</v>
      </c>
      <c r="C66" t="s">
        <v>851</v>
      </c>
      <c r="E66" t="s">
        <v>852</v>
      </c>
      <c r="G66" t="s">
        <v>853</v>
      </c>
    </row>
    <row r="67" spans="1:7" x14ac:dyDescent="0.25">
      <c r="C67">
        <v>268</v>
      </c>
      <c r="E67">
        <v>312</v>
      </c>
      <c r="G67">
        <v>399</v>
      </c>
    </row>
    <row r="68" spans="1:7" x14ac:dyDescent="0.25">
      <c r="A68" t="s">
        <v>854</v>
      </c>
      <c r="B68" t="s">
        <v>871</v>
      </c>
      <c r="C68" t="s">
        <v>855</v>
      </c>
      <c r="E68" t="s">
        <v>856</v>
      </c>
      <c r="G68" t="s">
        <v>857</v>
      </c>
    </row>
    <row r="69" spans="1:7" x14ac:dyDescent="0.25">
      <c r="E69">
        <v>457</v>
      </c>
      <c r="G69">
        <v>528</v>
      </c>
    </row>
    <row r="70" spans="1:7" x14ac:dyDescent="0.25">
      <c r="A70" t="s">
        <v>858</v>
      </c>
      <c r="B70" t="s">
        <v>871</v>
      </c>
      <c r="C70" t="s">
        <v>859</v>
      </c>
      <c r="E70" t="s">
        <v>860</v>
      </c>
      <c r="G70" t="s">
        <v>861</v>
      </c>
    </row>
    <row r="71" spans="1:7" x14ac:dyDescent="0.25">
      <c r="C71">
        <v>188</v>
      </c>
      <c r="E71">
        <v>241</v>
      </c>
      <c r="G71">
        <v>435</v>
      </c>
    </row>
    <row r="72" spans="1:7" x14ac:dyDescent="0.25">
      <c r="A72" t="s">
        <v>862</v>
      </c>
      <c r="B72" t="s">
        <v>871</v>
      </c>
      <c r="C72" t="s">
        <v>863</v>
      </c>
      <c r="E72" t="s">
        <v>864</v>
      </c>
      <c r="G72" t="s">
        <v>865</v>
      </c>
    </row>
    <row r="73" spans="1:7" x14ac:dyDescent="0.25">
      <c r="C73">
        <v>258</v>
      </c>
      <c r="E73">
        <v>316</v>
      </c>
      <c r="G73">
        <v>404</v>
      </c>
    </row>
    <row r="74" spans="1:7" x14ac:dyDescent="0.25">
      <c r="A74" t="s">
        <v>866</v>
      </c>
      <c r="B74" t="s">
        <v>871</v>
      </c>
      <c r="C74" t="s">
        <v>855</v>
      </c>
      <c r="E74" t="s">
        <v>867</v>
      </c>
      <c r="G74" t="s">
        <v>868</v>
      </c>
    </row>
    <row r="75" spans="1:7" x14ac:dyDescent="0.25">
      <c r="E75">
        <v>321</v>
      </c>
      <c r="G75">
        <v>378</v>
      </c>
    </row>
    <row r="76" spans="1:7" x14ac:dyDescent="0.25">
      <c r="A76" t="s">
        <v>869</v>
      </c>
      <c r="B76" t="s">
        <v>871</v>
      </c>
      <c r="C76" t="s">
        <v>855</v>
      </c>
      <c r="E76" t="s">
        <v>872</v>
      </c>
      <c r="G76" t="s">
        <v>873</v>
      </c>
    </row>
    <row r="77" spans="1:7" x14ac:dyDescent="0.25">
      <c r="E77">
        <v>284</v>
      </c>
      <c r="G77">
        <v>332</v>
      </c>
    </row>
    <row r="78" spans="1:7" x14ac:dyDescent="0.25">
      <c r="A78" t="s">
        <v>874</v>
      </c>
      <c r="B78" t="s">
        <v>871</v>
      </c>
      <c r="C78" t="s">
        <v>855</v>
      </c>
      <c r="E78" t="s">
        <v>860</v>
      </c>
      <c r="G78" t="s">
        <v>875</v>
      </c>
    </row>
    <row r="79" spans="1:7" x14ac:dyDescent="0.25">
      <c r="E79">
        <v>345</v>
      </c>
      <c r="G79">
        <v>430</v>
      </c>
    </row>
    <row r="80" spans="1:7" x14ac:dyDescent="0.25">
      <c r="A80" t="s">
        <v>876</v>
      </c>
      <c r="B80" t="s">
        <v>871</v>
      </c>
      <c r="C80" t="s">
        <v>877</v>
      </c>
      <c r="E80" t="s">
        <v>878</v>
      </c>
      <c r="G80" t="s">
        <v>878</v>
      </c>
    </row>
    <row r="81" spans="1:7" x14ac:dyDescent="0.25">
      <c r="C81">
        <v>316</v>
      </c>
      <c r="E81">
        <v>361</v>
      </c>
      <c r="G81">
        <v>361</v>
      </c>
    </row>
    <row r="82" spans="1:7" x14ac:dyDescent="0.25">
      <c r="A82" t="s">
        <v>880</v>
      </c>
      <c r="B82" t="s">
        <v>871</v>
      </c>
      <c r="C82" t="s">
        <v>855</v>
      </c>
      <c r="E82" t="s">
        <v>881</v>
      </c>
      <c r="G82" t="s">
        <v>881</v>
      </c>
    </row>
    <row r="83" spans="1:7" x14ac:dyDescent="0.25">
      <c r="E83">
        <v>424</v>
      </c>
      <c r="G83">
        <v>484</v>
      </c>
    </row>
    <row r="84" spans="1:7" x14ac:dyDescent="0.25">
      <c r="A84" t="s">
        <v>882</v>
      </c>
      <c r="B84" t="s">
        <v>871</v>
      </c>
      <c r="C84" t="s">
        <v>855</v>
      </c>
      <c r="E84" t="s">
        <v>883</v>
      </c>
      <c r="G84" t="s">
        <v>883</v>
      </c>
    </row>
    <row r="85" spans="1:7" x14ac:dyDescent="0.25">
      <c r="E85">
        <v>506</v>
      </c>
      <c r="G85">
        <v>540</v>
      </c>
    </row>
    <row r="86" spans="1:7" x14ac:dyDescent="0.25">
      <c r="A86" t="s">
        <v>884</v>
      </c>
      <c r="B86" t="s">
        <v>871</v>
      </c>
      <c r="C86" t="s">
        <v>855</v>
      </c>
      <c r="E86" t="s">
        <v>885</v>
      </c>
      <c r="G86" t="s">
        <v>886</v>
      </c>
    </row>
    <row r="87" spans="1:7" x14ac:dyDescent="0.25">
      <c r="E87">
        <v>301</v>
      </c>
      <c r="G87">
        <v>323</v>
      </c>
    </row>
    <row r="88" spans="1:7" x14ac:dyDescent="0.25">
      <c r="A88" t="s">
        <v>101</v>
      </c>
      <c r="B88" t="s">
        <v>871</v>
      </c>
      <c r="C88" t="s">
        <v>855</v>
      </c>
      <c r="E88" t="s">
        <v>887</v>
      </c>
      <c r="G88" t="s">
        <v>855</v>
      </c>
    </row>
    <row r="89" spans="1:7" x14ac:dyDescent="0.25">
      <c r="E89">
        <v>500</v>
      </c>
    </row>
    <row r="90" spans="1:7" x14ac:dyDescent="0.25">
      <c r="A90" t="s">
        <v>102</v>
      </c>
      <c r="B90" t="s">
        <v>871</v>
      </c>
      <c r="C90" t="s">
        <v>855</v>
      </c>
      <c r="E90" t="s">
        <v>887</v>
      </c>
      <c r="G90" t="s">
        <v>888</v>
      </c>
    </row>
    <row r="91" spans="1:7" x14ac:dyDescent="0.25">
      <c r="E91">
        <v>419</v>
      </c>
      <c r="G91">
        <v>482</v>
      </c>
    </row>
    <row r="92" spans="1:7" x14ac:dyDescent="0.25">
      <c r="A92" s="196" t="s">
        <v>977</v>
      </c>
    </row>
    <row r="93" spans="1:7" x14ac:dyDescent="0.25">
      <c r="A93" s="196" t="s">
        <v>978</v>
      </c>
    </row>
    <row r="94" spans="1:7" x14ac:dyDescent="0.25">
      <c r="A94" s="196" t="s">
        <v>979</v>
      </c>
      <c r="C94" s="196"/>
    </row>
    <row r="95" spans="1:7" x14ac:dyDescent="0.25">
      <c r="A95" s="196" t="s">
        <v>980</v>
      </c>
      <c r="C95" s="196"/>
    </row>
    <row r="96" spans="1:7" x14ac:dyDescent="0.25">
      <c r="A96" s="196" t="s">
        <v>981</v>
      </c>
      <c r="C96" s="196"/>
    </row>
    <row r="97" spans="1:8" x14ac:dyDescent="0.25">
      <c r="A97" s="196" t="s">
        <v>982</v>
      </c>
      <c r="C97" s="196"/>
    </row>
    <row r="98" spans="1:8" x14ac:dyDescent="0.25">
      <c r="A98" s="196" t="s">
        <v>983</v>
      </c>
      <c r="C98" s="196"/>
    </row>
    <row r="99" spans="1:8" x14ac:dyDescent="0.25">
      <c r="A99" s="196" t="s">
        <v>984</v>
      </c>
      <c r="E99" s="196"/>
    </row>
    <row r="100" spans="1:8" x14ac:dyDescent="0.25">
      <c r="A100" s="196" t="s">
        <v>985</v>
      </c>
      <c r="H100" s="196"/>
    </row>
    <row r="103" spans="1:8" ht="18.75" x14ac:dyDescent="0.3">
      <c r="A103" s="554" t="s">
        <v>891</v>
      </c>
    </row>
    <row r="104" spans="1:8" x14ac:dyDescent="0.25">
      <c r="A104" s="4"/>
    </row>
    <row r="105" spans="1:8" x14ac:dyDescent="0.25">
      <c r="A105" s="4" t="s">
        <v>839</v>
      </c>
      <c r="B105" s="4" t="s">
        <v>892</v>
      </c>
      <c r="C105" s="4" t="s">
        <v>893</v>
      </c>
      <c r="D105" s="4"/>
      <c r="E105" s="4"/>
      <c r="F105" s="4"/>
      <c r="G105" s="4"/>
    </row>
    <row r="106" spans="1:8" x14ac:dyDescent="0.25">
      <c r="A106" s="4"/>
      <c r="B106" s="4"/>
      <c r="C106" s="4" t="s">
        <v>841</v>
      </c>
      <c r="D106" s="4"/>
      <c r="E106" s="4"/>
      <c r="F106" s="4"/>
      <c r="G106" s="4"/>
    </row>
    <row r="107" spans="1:8" x14ac:dyDescent="0.25">
      <c r="A107" t="s">
        <v>894</v>
      </c>
      <c r="B107" t="s">
        <v>895</v>
      </c>
      <c r="C107">
        <v>799</v>
      </c>
    </row>
    <row r="108" spans="1:8" x14ac:dyDescent="0.25">
      <c r="A108" s="556" t="s">
        <v>858</v>
      </c>
      <c r="B108" t="s">
        <v>895</v>
      </c>
      <c r="C108">
        <v>906</v>
      </c>
    </row>
    <row r="109" spans="1:8" x14ac:dyDescent="0.25">
      <c r="A109" s="556" t="s">
        <v>862</v>
      </c>
      <c r="B109" t="s">
        <v>895</v>
      </c>
      <c r="C109">
        <v>1246</v>
      </c>
    </row>
    <row r="110" spans="1:8" x14ac:dyDescent="0.25">
      <c r="A110" s="556" t="s">
        <v>97</v>
      </c>
      <c r="B110" t="s">
        <v>895</v>
      </c>
      <c r="C110">
        <v>682</v>
      </c>
    </row>
    <row r="111" spans="1:8" x14ac:dyDescent="0.25">
      <c r="A111" s="556" t="s">
        <v>869</v>
      </c>
      <c r="B111" t="s">
        <v>895</v>
      </c>
      <c r="C111">
        <v>747</v>
      </c>
    </row>
    <row r="112" spans="1:8" x14ac:dyDescent="0.25">
      <c r="A112" s="556" t="s">
        <v>896</v>
      </c>
      <c r="B112" t="s">
        <v>895</v>
      </c>
      <c r="C112">
        <v>732</v>
      </c>
    </row>
    <row r="113" spans="1:6" x14ac:dyDescent="0.25">
      <c r="A113" s="556" t="s">
        <v>897</v>
      </c>
      <c r="B113" t="s">
        <v>895</v>
      </c>
      <c r="C113">
        <v>793</v>
      </c>
    </row>
    <row r="114" spans="1:6" x14ac:dyDescent="0.25">
      <c r="A114" s="556" t="s">
        <v>898</v>
      </c>
      <c r="B114" t="s">
        <v>895</v>
      </c>
      <c r="C114">
        <v>513</v>
      </c>
    </row>
    <row r="115" spans="1:6" x14ac:dyDescent="0.25">
      <c r="A115" s="556" t="s">
        <v>102</v>
      </c>
      <c r="B115" t="s">
        <v>895</v>
      </c>
      <c r="C115">
        <v>770</v>
      </c>
    </row>
    <row r="116" spans="1:6" x14ac:dyDescent="0.25">
      <c r="A116" s="556" t="s">
        <v>899</v>
      </c>
      <c r="B116" t="s">
        <v>895</v>
      </c>
      <c r="C116">
        <v>631</v>
      </c>
    </row>
    <row r="118" spans="1:6" ht="15.75" x14ac:dyDescent="0.25">
      <c r="A118" s="557" t="s">
        <v>5</v>
      </c>
      <c r="B118" s="337"/>
    </row>
    <row r="119" spans="1:6" x14ac:dyDescent="0.25">
      <c r="A119" t="s">
        <v>900</v>
      </c>
      <c r="E119">
        <v>2604</v>
      </c>
      <c r="F119" t="s">
        <v>901</v>
      </c>
    </row>
    <row r="120" spans="1:6" x14ac:dyDescent="0.25">
      <c r="A120" t="s">
        <v>902</v>
      </c>
      <c r="E120">
        <v>3284</v>
      </c>
      <c r="F120" t="s">
        <v>901</v>
      </c>
    </row>
    <row r="121" spans="1:6" ht="15.75" x14ac:dyDescent="0.25">
      <c r="A121" s="558" t="s">
        <v>903</v>
      </c>
      <c r="E121">
        <v>838</v>
      </c>
      <c r="F121" t="s">
        <v>901</v>
      </c>
    </row>
    <row r="123" spans="1:6" ht="15.75" x14ac:dyDescent="0.25">
      <c r="A123" s="558" t="s">
        <v>904</v>
      </c>
      <c r="E123">
        <v>11</v>
      </c>
      <c r="F123" t="s">
        <v>841</v>
      </c>
    </row>
    <row r="124" spans="1:6" ht="15.75" x14ac:dyDescent="0.25">
      <c r="A124" s="558" t="s">
        <v>905</v>
      </c>
      <c r="E124">
        <v>31</v>
      </c>
      <c r="F124" t="s">
        <v>841</v>
      </c>
    </row>
    <row r="126" spans="1:6" x14ac:dyDescent="0.25">
      <c r="A126" s="196" t="s">
        <v>977</v>
      </c>
    </row>
    <row r="127" spans="1:6" x14ac:dyDescent="0.25">
      <c r="A127" s="196" t="s">
        <v>986</v>
      </c>
    </row>
    <row r="129" spans="1:11" x14ac:dyDescent="0.25">
      <c r="A129" s="4" t="s">
        <v>931</v>
      </c>
    </row>
    <row r="131" spans="1:11" x14ac:dyDescent="0.25">
      <c r="A131" s="567" t="s">
        <v>932</v>
      </c>
    </row>
    <row r="132" spans="1:11" x14ac:dyDescent="0.25">
      <c r="A132" s="568" t="s">
        <v>933</v>
      </c>
    </row>
    <row r="133" spans="1:11" x14ac:dyDescent="0.25">
      <c r="A133" s="568" t="s">
        <v>934</v>
      </c>
    </row>
    <row r="134" spans="1:11" x14ac:dyDescent="0.25">
      <c r="A134" s="569" t="s">
        <v>935</v>
      </c>
    </row>
    <row r="135" spans="1:11" x14ac:dyDescent="0.25">
      <c r="A135" s="569" t="s">
        <v>936</v>
      </c>
    </row>
    <row r="136" spans="1:11" x14ac:dyDescent="0.25">
      <c r="A136" s="569" t="s">
        <v>937</v>
      </c>
    </row>
    <row r="137" spans="1:11" x14ac:dyDescent="0.25">
      <c r="A137" s="570" t="s">
        <v>938</v>
      </c>
    </row>
    <row r="138" spans="1:11" x14ac:dyDescent="0.25">
      <c r="A138" s="570" t="s">
        <v>939</v>
      </c>
    </row>
    <row r="139" spans="1:11" x14ac:dyDescent="0.25">
      <c r="A139" s="569" t="s">
        <v>940</v>
      </c>
    </row>
    <row r="140" spans="1:11" x14ac:dyDescent="0.25">
      <c r="A140" s="569"/>
      <c r="E140" t="s">
        <v>838</v>
      </c>
      <c r="G140" t="s">
        <v>840</v>
      </c>
    </row>
    <row r="141" spans="1:11" x14ac:dyDescent="0.25">
      <c r="A141" s="569" t="s">
        <v>941</v>
      </c>
      <c r="E141" s="555">
        <f>(290+55)*0.65+(130+30)*0.35</f>
        <v>280.25</v>
      </c>
      <c r="F141" t="s">
        <v>942</v>
      </c>
      <c r="G141" s="555">
        <f>(370+55)*0.65+(130+30)*0.35</f>
        <v>332.25</v>
      </c>
      <c r="H141" t="s">
        <v>942</v>
      </c>
    </row>
    <row r="142" spans="1:11" x14ac:dyDescent="0.25">
      <c r="A142" s="168" t="s">
        <v>943</v>
      </c>
      <c r="E142" s="555">
        <f>E141*1.1</f>
        <v>308.27500000000003</v>
      </c>
      <c r="F142" t="s">
        <v>942</v>
      </c>
      <c r="G142" s="555">
        <f>G141*1.1</f>
        <v>365.47500000000002</v>
      </c>
      <c r="H142" t="s">
        <v>942</v>
      </c>
      <c r="J142" s="44">
        <f>(G142-E67)/E67</f>
        <v>0.17139423076923085</v>
      </c>
      <c r="K142" t="s">
        <v>1060</v>
      </c>
    </row>
    <row r="143" spans="1:11" x14ac:dyDescent="0.25">
      <c r="A143" s="168"/>
      <c r="E143" s="555"/>
      <c r="G143" s="555"/>
    </row>
    <row r="144" spans="1:11" x14ac:dyDescent="0.25">
      <c r="A144" s="569" t="s">
        <v>944</v>
      </c>
      <c r="E144" s="571">
        <f>500/9</f>
        <v>55.555555555555557</v>
      </c>
      <c r="F144" t="s">
        <v>942</v>
      </c>
      <c r="G144" s="571">
        <f>800/9</f>
        <v>88.888888888888886</v>
      </c>
      <c r="H144" t="s">
        <v>942</v>
      </c>
    </row>
    <row r="145" spans="1:11" x14ac:dyDescent="0.25">
      <c r="A145" s="569" t="s">
        <v>945</v>
      </c>
      <c r="E145" s="571">
        <f>E144*0.65+E142</f>
        <v>344.38611111111118</v>
      </c>
      <c r="F145" t="s">
        <v>942</v>
      </c>
      <c r="G145" s="571">
        <f>G144*0.65+G142</f>
        <v>423.25277777777779</v>
      </c>
      <c r="H145" t="s">
        <v>942</v>
      </c>
      <c r="J145" s="44">
        <f>(G145-G67)/G67</f>
        <v>6.0783904204956878E-2</v>
      </c>
      <c r="K145" t="s">
        <v>1061</v>
      </c>
    </row>
    <row r="147" spans="1:11" x14ac:dyDescent="0.25">
      <c r="A147" s="569" t="s">
        <v>946</v>
      </c>
      <c r="E147" s="555">
        <f>250/9</f>
        <v>27.777777777777779</v>
      </c>
      <c r="F147" t="s">
        <v>942</v>
      </c>
      <c r="G147" s="555">
        <f>300/9</f>
        <v>33.333333333333336</v>
      </c>
      <c r="H147" t="s">
        <v>942</v>
      </c>
    </row>
    <row r="148" spans="1:11" ht="15.75" x14ac:dyDescent="0.25">
      <c r="A148" s="558" t="s">
        <v>905</v>
      </c>
      <c r="E148">
        <v>31</v>
      </c>
      <c r="F148" t="s">
        <v>942</v>
      </c>
      <c r="G148">
        <v>31</v>
      </c>
      <c r="H148" t="s">
        <v>942</v>
      </c>
    </row>
    <row r="149" spans="1:11" x14ac:dyDescent="0.25">
      <c r="A149" t="s">
        <v>947</v>
      </c>
      <c r="E149" s="555">
        <f>(5000*5*3)/(3600*0.35)</f>
        <v>59.523809523809526</v>
      </c>
      <c r="F149" t="s">
        <v>942</v>
      </c>
      <c r="G149" s="555">
        <f>(5000*10*3)/(3600*0.35)</f>
        <v>119.04761904761905</v>
      </c>
      <c r="H149" t="s">
        <v>942</v>
      </c>
    </row>
    <row r="150" spans="1:11" x14ac:dyDescent="0.25">
      <c r="A150" s="569" t="s">
        <v>948</v>
      </c>
    </row>
    <row r="151" spans="1:11" x14ac:dyDescent="0.25">
      <c r="A151" t="s">
        <v>949</v>
      </c>
      <c r="E151" s="555">
        <f>E147*0.65+E148+E149*0.35</f>
        <v>69.888888888888886</v>
      </c>
      <c r="F151" t="s">
        <v>942</v>
      </c>
      <c r="G151" s="555">
        <f>G147*0.65+G148+G149*0.35</f>
        <v>94.333333333333343</v>
      </c>
      <c r="H151" t="s">
        <v>942</v>
      </c>
    </row>
    <row r="153" spans="1:11" s="4" customFormat="1" x14ac:dyDescent="0.25">
      <c r="A153" s="4" t="s">
        <v>950</v>
      </c>
    </row>
    <row r="154" spans="1:11" s="4" customFormat="1" x14ac:dyDescent="0.25">
      <c r="A154" s="568" t="s">
        <v>933</v>
      </c>
    </row>
    <row r="155" spans="1:11" s="4" customFormat="1" x14ac:dyDescent="0.25">
      <c r="A155" s="556" t="s">
        <v>951</v>
      </c>
    </row>
    <row r="156" spans="1:11" s="4" customFormat="1" x14ac:dyDescent="0.25">
      <c r="A156" s="556" t="s">
        <v>970</v>
      </c>
    </row>
    <row r="157" spans="1:11" s="4" customFormat="1" x14ac:dyDescent="0.25">
      <c r="A157" s="556" t="s">
        <v>1067</v>
      </c>
    </row>
    <row r="158" spans="1:11" x14ac:dyDescent="0.25">
      <c r="A158" s="387"/>
    </row>
    <row r="159" spans="1:11" s="4" customFormat="1" x14ac:dyDescent="0.25">
      <c r="A159" s="4" t="s">
        <v>950</v>
      </c>
    </row>
    <row r="160" spans="1:11" s="4" customFormat="1" x14ac:dyDescent="0.25">
      <c r="A160" s="568" t="s">
        <v>933</v>
      </c>
    </row>
    <row r="161" spans="1:1" s="4" customFormat="1" x14ac:dyDescent="0.25">
      <c r="A161" s="556" t="s">
        <v>952</v>
      </c>
    </row>
    <row r="162" spans="1:1" s="4" customFormat="1" x14ac:dyDescent="0.25">
      <c r="A162" s="556" t="s">
        <v>969</v>
      </c>
    </row>
    <row r="163" spans="1:1" x14ac:dyDescent="0.25">
      <c r="A163" s="570" t="s">
        <v>953</v>
      </c>
    </row>
    <row r="164" spans="1:1" s="4" customFormat="1" x14ac:dyDescent="0.25">
      <c r="A164" s="556" t="s">
        <v>1064</v>
      </c>
    </row>
    <row r="165" spans="1:1" s="4" customFormat="1" x14ac:dyDescent="0.25">
      <c r="A165" s="556" t="s">
        <v>1065</v>
      </c>
    </row>
    <row r="166" spans="1:1" s="4" customFormat="1" x14ac:dyDescent="0.25">
      <c r="A166" s="556" t="s">
        <v>1066</v>
      </c>
    </row>
    <row r="167" spans="1:1" x14ac:dyDescent="0.25">
      <c r="A167" s="387"/>
    </row>
  </sheetData>
  <mergeCells count="2">
    <mergeCell ref="C20:E20"/>
    <mergeCell ref="F20:H20"/>
  </mergeCells>
  <hyperlinks>
    <hyperlink ref="J37" r:id="rId1"/>
    <hyperlink ref="J38" r:id="rId2"/>
    <hyperlink ref="J39" r:id="rId3"/>
  </hyperlinks>
  <pageMargins left="0.7" right="0.7" top="0.75" bottom="0.75" header="0.3" footer="0.3"/>
  <pageSetup paperSize="9"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0"/>
  <sheetViews>
    <sheetView topLeftCell="A5" zoomScale="90" zoomScaleNormal="90" workbookViewId="0">
      <selection activeCell="P44" sqref="P44"/>
    </sheetView>
  </sheetViews>
  <sheetFormatPr baseColWidth="10" defaultColWidth="9.140625" defaultRowHeight="15" x14ac:dyDescent="0.25"/>
  <cols>
    <col min="1" max="1" width="26.7109375" customWidth="1"/>
    <col min="2" max="2" width="18.7109375" customWidth="1"/>
    <col min="3" max="3" width="9.28515625" bestFit="1" customWidth="1"/>
    <col min="4" max="4" width="13.85546875" bestFit="1" customWidth="1"/>
    <col min="5" max="5" width="10.42578125" bestFit="1" customWidth="1"/>
    <col min="6" max="6" width="9.7109375" bestFit="1" customWidth="1"/>
    <col min="8" max="8" width="9.42578125" bestFit="1" customWidth="1"/>
    <col min="15" max="15" width="8.7109375" customWidth="1"/>
    <col min="16" max="16" width="10.28515625" customWidth="1"/>
    <col min="17" max="17" width="10.7109375" customWidth="1"/>
    <col min="18" max="18" width="11.140625" customWidth="1"/>
    <col min="22" max="22" width="10.85546875" customWidth="1"/>
  </cols>
  <sheetData>
    <row r="1" spans="1:2" x14ac:dyDescent="0.25">
      <c r="A1" s="16" t="s">
        <v>549</v>
      </c>
    </row>
    <row r="2" spans="1:2" s="225" customFormat="1" x14ac:dyDescent="0.25">
      <c r="A2" s="225" t="s">
        <v>362</v>
      </c>
    </row>
    <row r="4" spans="1:2" x14ac:dyDescent="0.25">
      <c r="A4" s="196" t="s">
        <v>528</v>
      </c>
    </row>
    <row r="5" spans="1:2" x14ac:dyDescent="0.25">
      <c r="A5" t="s">
        <v>364</v>
      </c>
    </row>
    <row r="6" spans="1:2" x14ac:dyDescent="0.25">
      <c r="A6" t="s">
        <v>518</v>
      </c>
      <c r="B6" t="s">
        <v>545</v>
      </c>
    </row>
    <row r="7" spans="1:2" x14ac:dyDescent="0.25">
      <c r="A7" t="s">
        <v>519</v>
      </c>
      <c r="B7" t="s">
        <v>543</v>
      </c>
    </row>
    <row r="8" spans="1:2" x14ac:dyDescent="0.25">
      <c r="A8" t="s">
        <v>520</v>
      </c>
      <c r="B8" t="s">
        <v>542</v>
      </c>
    </row>
    <row r="9" spans="1:2" x14ac:dyDescent="0.25">
      <c r="A9" s="637" t="s">
        <v>1058</v>
      </c>
    </row>
    <row r="11" spans="1:2" x14ac:dyDescent="0.25">
      <c r="A11" s="196" t="s">
        <v>529</v>
      </c>
    </row>
    <row r="12" spans="1:2" x14ac:dyDescent="0.25">
      <c r="A12" t="s">
        <v>537</v>
      </c>
    </row>
    <row r="13" spans="1:2" x14ac:dyDescent="0.25">
      <c r="A13" t="s">
        <v>518</v>
      </c>
      <c r="B13" t="s">
        <v>535</v>
      </c>
    </row>
    <row r="14" spans="1:2" x14ac:dyDescent="0.25">
      <c r="A14" t="s">
        <v>519</v>
      </c>
      <c r="B14" t="s">
        <v>534</v>
      </c>
    </row>
    <row r="15" spans="1:2" x14ac:dyDescent="0.25">
      <c r="A15" t="s">
        <v>520</v>
      </c>
      <c r="B15" t="s">
        <v>533</v>
      </c>
    </row>
    <row r="17" spans="1:14" x14ac:dyDescent="0.25">
      <c r="A17" s="196" t="s">
        <v>531</v>
      </c>
    </row>
    <row r="18" spans="1:14" x14ac:dyDescent="0.25">
      <c r="A18" t="s">
        <v>538</v>
      </c>
    </row>
    <row r="19" spans="1:14" x14ac:dyDescent="0.25">
      <c r="A19" t="s">
        <v>518</v>
      </c>
      <c r="B19" t="s">
        <v>1069</v>
      </c>
    </row>
    <row r="20" spans="1:14" x14ac:dyDescent="0.25">
      <c r="A20" t="s">
        <v>519</v>
      </c>
      <c r="B20" t="s">
        <v>1070</v>
      </c>
    </row>
    <row r="21" spans="1:14" x14ac:dyDescent="0.25">
      <c r="A21" t="s">
        <v>520</v>
      </c>
      <c r="B21" t="s">
        <v>752</v>
      </c>
    </row>
    <row r="22" spans="1:14" x14ac:dyDescent="0.25">
      <c r="A22" t="s">
        <v>532</v>
      </c>
    </row>
    <row r="24" spans="1:14" x14ac:dyDescent="0.25">
      <c r="A24" s="196" t="s">
        <v>530</v>
      </c>
    </row>
    <row r="25" spans="1:14" x14ac:dyDescent="0.25">
      <c r="A25" t="s">
        <v>536</v>
      </c>
    </row>
    <row r="26" spans="1:14" x14ac:dyDescent="0.25">
      <c r="A26" t="s">
        <v>518</v>
      </c>
      <c r="B26" t="s">
        <v>539</v>
      </c>
    </row>
    <row r="27" spans="1:14" x14ac:dyDescent="0.25">
      <c r="A27" t="s">
        <v>519</v>
      </c>
      <c r="B27" t="s">
        <v>540</v>
      </c>
    </row>
    <row r="28" spans="1:14" x14ac:dyDescent="0.25">
      <c r="A28" t="s">
        <v>520</v>
      </c>
      <c r="B28" t="s">
        <v>541</v>
      </c>
    </row>
    <row r="29" spans="1:14" x14ac:dyDescent="0.25">
      <c r="A29" t="s">
        <v>544</v>
      </c>
    </row>
    <row r="31" spans="1:14" x14ac:dyDescent="0.25">
      <c r="A31" s="196" t="s">
        <v>1112</v>
      </c>
      <c r="B31">
        <v>1.058222</v>
      </c>
    </row>
    <row r="32" spans="1:14" x14ac:dyDescent="0.25">
      <c r="C32" s="707" t="str">
        <f>A4</f>
        <v>Natt- og helgesenkning oppvarmingssystem</v>
      </c>
      <c r="D32" s="708"/>
      <c r="E32" s="709"/>
      <c r="F32" s="697" t="str">
        <f>A11</f>
        <v>Automatisk solavskjerming</v>
      </c>
      <c r="G32" s="697"/>
      <c r="H32" s="697"/>
      <c r="I32" s="697" t="s">
        <v>531</v>
      </c>
      <c r="J32" s="697"/>
      <c r="K32" s="697"/>
      <c r="L32" s="697" t="s">
        <v>530</v>
      </c>
      <c r="M32" s="697"/>
      <c r="N32" s="697"/>
    </row>
    <row r="33" spans="1:18" x14ac:dyDescent="0.25">
      <c r="A33" s="73" t="s">
        <v>95</v>
      </c>
      <c r="B33" s="63" t="s">
        <v>163</v>
      </c>
      <c r="C33" s="17" t="s">
        <v>3</v>
      </c>
      <c r="D33" s="17" t="s">
        <v>143</v>
      </c>
      <c r="E33" s="17" t="s">
        <v>4</v>
      </c>
      <c r="F33" s="17" t="s">
        <v>3</v>
      </c>
      <c r="G33" s="17" t="s">
        <v>143</v>
      </c>
      <c r="H33" s="17" t="s">
        <v>4</v>
      </c>
      <c r="I33" s="17" t="s">
        <v>3</v>
      </c>
      <c r="J33" s="17" t="s">
        <v>143</v>
      </c>
      <c r="K33" s="17" t="s">
        <v>4</v>
      </c>
      <c r="L33" s="17" t="s">
        <v>3</v>
      </c>
      <c r="M33" s="17" t="s">
        <v>143</v>
      </c>
      <c r="N33" s="17" t="s">
        <v>4</v>
      </c>
    </row>
    <row r="34" spans="1:18" x14ac:dyDescent="0.25">
      <c r="A34" s="68"/>
      <c r="B34" s="69" t="s">
        <v>174</v>
      </c>
      <c r="C34" s="17" t="s">
        <v>522</v>
      </c>
      <c r="D34" s="17" t="s">
        <v>522</v>
      </c>
      <c r="E34" s="17" t="s">
        <v>522</v>
      </c>
      <c r="F34" s="17" t="s">
        <v>522</v>
      </c>
      <c r="G34" s="17" t="s">
        <v>522</v>
      </c>
      <c r="H34" s="17" t="s">
        <v>522</v>
      </c>
      <c r="I34" s="17" t="s">
        <v>522</v>
      </c>
      <c r="J34" s="17" t="s">
        <v>522</v>
      </c>
      <c r="K34" s="17" t="s">
        <v>522</v>
      </c>
      <c r="L34" s="17" t="s">
        <v>522</v>
      </c>
      <c r="M34" s="17" t="s">
        <v>522</v>
      </c>
      <c r="N34" s="17" t="s">
        <v>522</v>
      </c>
    </row>
    <row r="35" spans="1:18" x14ac:dyDescent="0.25">
      <c r="A35" s="339" t="s">
        <v>11</v>
      </c>
      <c r="B35" s="481">
        <v>160</v>
      </c>
      <c r="C35" s="669">
        <f>B31*30</f>
        <v>31.746659999999999</v>
      </c>
      <c r="D35" s="670">
        <f>B31*110</f>
        <v>116.40442</v>
      </c>
      <c r="E35" s="671">
        <f>B31*200</f>
        <v>211.64439999999999</v>
      </c>
      <c r="F35" s="327"/>
      <c r="G35" s="322"/>
      <c r="H35" s="326"/>
      <c r="I35" s="559">
        <v>0</v>
      </c>
      <c r="J35" s="560">
        <v>0</v>
      </c>
      <c r="K35" s="675">
        <f>10000*B31/B35</f>
        <v>66.138874999999999</v>
      </c>
      <c r="L35" s="327"/>
      <c r="M35" s="322"/>
      <c r="N35" s="326"/>
      <c r="P35" s="57"/>
      <c r="Q35" s="57"/>
      <c r="R35" s="57"/>
    </row>
    <row r="36" spans="1:18" x14ac:dyDescent="0.25">
      <c r="A36" s="340" t="s">
        <v>1</v>
      </c>
      <c r="B36" s="482">
        <v>900</v>
      </c>
      <c r="C36" s="672">
        <f>B31*40</f>
        <v>42.328879999999998</v>
      </c>
      <c r="D36" s="670">
        <f>B31*150</f>
        <v>158.73329999999999</v>
      </c>
      <c r="E36" s="673">
        <f>B31*250</f>
        <v>264.55549999999999</v>
      </c>
      <c r="F36" s="328"/>
      <c r="G36" s="323"/>
      <c r="H36" s="190"/>
      <c r="I36" s="477">
        <f>7000*B31/$B36</f>
        <v>8.2306155555555556</v>
      </c>
      <c r="J36" s="479">
        <f>10000*B31/B36</f>
        <v>11.758022222222221</v>
      </c>
      <c r="K36" s="676">
        <f>B31*300</f>
        <v>317.46659999999997</v>
      </c>
      <c r="L36" s="328"/>
      <c r="M36" s="323"/>
      <c r="N36" s="190"/>
      <c r="P36" s="57"/>
      <c r="Q36" s="57"/>
      <c r="R36" s="57"/>
    </row>
    <row r="37" spans="1:18" x14ac:dyDescent="0.25">
      <c r="A37" s="24" t="s">
        <v>97</v>
      </c>
      <c r="B37" s="25">
        <v>300</v>
      </c>
      <c r="C37" s="666">
        <f>B31*80</f>
        <v>84.657759999999996</v>
      </c>
      <c r="D37" s="667">
        <f>B31*150</f>
        <v>158.73329999999999</v>
      </c>
      <c r="E37" s="668">
        <f>B31*250</f>
        <v>264.55549999999999</v>
      </c>
      <c r="F37" s="328"/>
      <c r="G37" s="323"/>
      <c r="H37" s="190"/>
      <c r="I37" s="477">
        <f>7000*B31/$B37</f>
        <v>24.691846666666667</v>
      </c>
      <c r="J37" s="479">
        <f>I37*2</f>
        <v>49.383693333333333</v>
      </c>
      <c r="K37" s="676">
        <f>B31*150</f>
        <v>158.73329999999999</v>
      </c>
      <c r="L37" s="678">
        <f>B31*150</f>
        <v>158.73329999999999</v>
      </c>
      <c r="M37" s="80">
        <f>B31*300</f>
        <v>317.46659999999997</v>
      </c>
      <c r="N37" s="676">
        <f>B31*400</f>
        <v>423.28879999999998</v>
      </c>
      <c r="P37" s="57"/>
      <c r="Q37" s="57"/>
      <c r="R37" s="57"/>
    </row>
    <row r="38" spans="1:18" x14ac:dyDescent="0.25">
      <c r="A38" s="24" t="s">
        <v>98</v>
      </c>
      <c r="B38" s="25">
        <v>3600</v>
      </c>
      <c r="C38" s="666">
        <f>B31*40</f>
        <v>42.328879999999998</v>
      </c>
      <c r="D38" s="667">
        <f>B31*200</f>
        <v>211.64439999999999</v>
      </c>
      <c r="E38" s="668">
        <f>B31*400</f>
        <v>423.28879999999998</v>
      </c>
      <c r="F38" s="428">
        <f>$E$177*B31/B38</f>
        <v>8.9925353955555547</v>
      </c>
      <c r="G38" s="468">
        <f>(F38+H38)/2</f>
        <v>99.434781986666664</v>
      </c>
      <c r="H38" s="605">
        <f>(B31*$E$175*'11 Kostnader Bygg'!F47+$E$177)/B38</f>
        <v>189.87702857777776</v>
      </c>
      <c r="I38" s="477">
        <f>10000*B31/$B38</f>
        <v>2.9395055555555554</v>
      </c>
      <c r="J38" s="479">
        <f>I38*4</f>
        <v>11.758022222222221</v>
      </c>
      <c r="K38" s="676">
        <f>B31*80</f>
        <v>84.657759999999996</v>
      </c>
      <c r="L38" s="678">
        <f>B31*250</f>
        <v>264.55549999999999</v>
      </c>
      <c r="M38" s="80">
        <f>B31*500</f>
        <v>529.11099999999999</v>
      </c>
      <c r="N38" s="676">
        <f>B31*650</f>
        <v>687.84429999999998</v>
      </c>
      <c r="P38" s="57"/>
      <c r="Q38" s="57"/>
      <c r="R38" s="57"/>
    </row>
    <row r="39" spans="1:18" x14ac:dyDescent="0.25">
      <c r="A39" s="24" t="s">
        <v>99</v>
      </c>
      <c r="B39" s="25">
        <v>2400</v>
      </c>
      <c r="C39" s="666">
        <f>B31*20</f>
        <v>21.164439999999999</v>
      </c>
      <c r="D39" s="667">
        <f>B31*200</f>
        <v>211.64439999999999</v>
      </c>
      <c r="E39" s="668">
        <f>B31*400</f>
        <v>423.28879999999998</v>
      </c>
      <c r="F39" s="608"/>
      <c r="G39" s="609"/>
      <c r="H39" s="610"/>
      <c r="I39" s="477">
        <f>10000*B31/$B39</f>
        <v>4.4092583333333328</v>
      </c>
      <c r="J39" s="479">
        <f>I39*4</f>
        <v>17.637033333333331</v>
      </c>
      <c r="K39" s="676">
        <f>B31*80</f>
        <v>84.657759999999996</v>
      </c>
      <c r="L39" s="678">
        <f>B31*200</f>
        <v>211.64439999999999</v>
      </c>
      <c r="M39" s="80">
        <f>B31*400</f>
        <v>423.28879999999998</v>
      </c>
      <c r="N39" s="676">
        <f>B31*500</f>
        <v>529.11099999999999</v>
      </c>
      <c r="P39" s="57"/>
      <c r="Q39" s="57"/>
      <c r="R39" s="57"/>
    </row>
    <row r="40" spans="1:18" x14ac:dyDescent="0.25">
      <c r="A40" s="24" t="s">
        <v>100</v>
      </c>
      <c r="B40" s="25">
        <v>3600</v>
      </c>
      <c r="C40" s="666">
        <f>B31*20</f>
        <v>21.164439999999999</v>
      </c>
      <c r="D40" s="667">
        <f>B31*200</f>
        <v>211.64439999999999</v>
      </c>
      <c r="E40" s="668">
        <f>B31*400</f>
        <v>423.28879999999998</v>
      </c>
      <c r="F40" s="428">
        <f>$E$177*B31/B40</f>
        <v>8.9925353955555547</v>
      </c>
      <c r="G40" s="468">
        <f>(F40+H40)/2</f>
        <v>99.434781986666664</v>
      </c>
      <c r="H40" s="605">
        <f>(B31*$E$175*'11 Kostnader Bygg'!F49+$E$177)/B40</f>
        <v>189.87702857777776</v>
      </c>
      <c r="I40" s="477">
        <f>10000*B31/$B40</f>
        <v>2.9395055555555554</v>
      </c>
      <c r="J40" s="479">
        <f t="shared" ref="J40:J46" si="0">I40*4</f>
        <v>11.758022222222221</v>
      </c>
      <c r="K40" s="676">
        <f>B31*80</f>
        <v>84.657759999999996</v>
      </c>
      <c r="L40" s="678">
        <f>B31*200</f>
        <v>211.64439999999999</v>
      </c>
      <c r="M40" s="80">
        <f>B31*400</f>
        <v>423.28879999999998</v>
      </c>
      <c r="N40" s="676">
        <f>B31*500</f>
        <v>529.11099999999999</v>
      </c>
      <c r="P40" s="57"/>
      <c r="Q40" s="57"/>
      <c r="R40" s="57"/>
    </row>
    <row r="41" spans="1:18" x14ac:dyDescent="0.25">
      <c r="A41" s="24" t="s">
        <v>101</v>
      </c>
      <c r="B41" s="25">
        <v>3600</v>
      </c>
      <c r="C41" s="666">
        <f>B31*20</f>
        <v>21.164439999999999</v>
      </c>
      <c r="D41" s="667">
        <f>B31*200</f>
        <v>211.64439999999999</v>
      </c>
      <c r="E41" s="668">
        <f>B31*400</f>
        <v>423.28879999999998</v>
      </c>
      <c r="F41" s="428">
        <f>$E$177*B31/B41</f>
        <v>8.9925353955555547</v>
      </c>
      <c r="G41" s="468">
        <f>(F41+H41)/2</f>
        <v>99.434781986666664</v>
      </c>
      <c r="H41" s="605">
        <f>(B31*$E$175*'11 Kostnader Bygg'!F50+$E$177)/B41</f>
        <v>189.87702857777776</v>
      </c>
      <c r="I41" s="477">
        <f>10000*B31/$B41</f>
        <v>2.9395055555555554</v>
      </c>
      <c r="J41" s="479">
        <f t="shared" si="0"/>
        <v>11.758022222222221</v>
      </c>
      <c r="K41" s="676">
        <f>B31*80</f>
        <v>84.657759999999996</v>
      </c>
      <c r="L41" s="678">
        <f>B31*250</f>
        <v>264.55549999999999</v>
      </c>
      <c r="M41" s="679">
        <f>B31*500</f>
        <v>529.11099999999999</v>
      </c>
      <c r="N41" s="676">
        <f>B31*650</f>
        <v>687.84429999999998</v>
      </c>
      <c r="P41" s="57"/>
      <c r="Q41" s="57"/>
      <c r="R41" s="57"/>
    </row>
    <row r="42" spans="1:18" x14ac:dyDescent="0.25">
      <c r="A42" s="24" t="s">
        <v>102</v>
      </c>
      <c r="B42" s="25">
        <v>2400</v>
      </c>
      <c r="C42" s="666">
        <f>B31*20</f>
        <v>21.164439999999999</v>
      </c>
      <c r="D42" s="667">
        <f>B31*150</f>
        <v>158.73329999999999</v>
      </c>
      <c r="E42" s="668">
        <f>B31*250</f>
        <v>264.55549999999999</v>
      </c>
      <c r="F42" s="608"/>
      <c r="G42" s="609"/>
      <c r="H42" s="610"/>
      <c r="I42" s="477">
        <f>10000*B31/$B42</f>
        <v>4.4092583333333328</v>
      </c>
      <c r="J42" s="479">
        <f t="shared" si="0"/>
        <v>17.637033333333331</v>
      </c>
      <c r="K42" s="676">
        <f>B31*80</f>
        <v>84.657759999999996</v>
      </c>
      <c r="L42" s="678">
        <f>B31*250</f>
        <v>264.55549999999999</v>
      </c>
      <c r="M42" s="679">
        <f>B31*500</f>
        <v>529.11099999999999</v>
      </c>
      <c r="N42" s="676">
        <f>B31*650</f>
        <v>687.84429999999998</v>
      </c>
      <c r="P42" s="57"/>
      <c r="Q42" s="57"/>
      <c r="R42" s="57"/>
    </row>
    <row r="43" spans="1:18" x14ac:dyDescent="0.25">
      <c r="A43" s="24" t="s">
        <v>103</v>
      </c>
      <c r="B43" s="25">
        <v>2400</v>
      </c>
      <c r="C43" s="666">
        <f>B31*20</f>
        <v>21.164439999999999</v>
      </c>
      <c r="D43" s="667">
        <f>B31*150</f>
        <v>158.73329999999999</v>
      </c>
      <c r="E43" s="668">
        <f>B31*250</f>
        <v>264.55549999999999</v>
      </c>
      <c r="F43" s="428">
        <f>$E$177*B31/B43</f>
        <v>13.488803093333333</v>
      </c>
      <c r="G43" s="468">
        <f>(F43+H43)/2</f>
        <v>103.80736028</v>
      </c>
      <c r="H43" s="605">
        <f>(B31*$E$175*'11 Kostnader Bygg'!F52+$E$177)/B43</f>
        <v>194.12591746666666</v>
      </c>
      <c r="I43" s="477">
        <f>10000*B31/$B43</f>
        <v>4.4092583333333328</v>
      </c>
      <c r="J43" s="479">
        <f t="shared" si="0"/>
        <v>17.637033333333331</v>
      </c>
      <c r="K43" s="676">
        <f>B31*80</f>
        <v>84.657759999999996</v>
      </c>
      <c r="L43" s="678">
        <f>B31*200</f>
        <v>211.64439999999999</v>
      </c>
      <c r="M43" s="679">
        <f>B31*400</f>
        <v>423.28879999999998</v>
      </c>
      <c r="N43" s="676">
        <f>B31*500</f>
        <v>529.11099999999999</v>
      </c>
      <c r="P43" s="57"/>
      <c r="Q43" s="57"/>
      <c r="R43" s="57"/>
    </row>
    <row r="44" spans="1:18" x14ac:dyDescent="0.25">
      <c r="A44" s="24" t="s">
        <v>104</v>
      </c>
      <c r="B44" s="25">
        <v>3200</v>
      </c>
      <c r="C44" s="666">
        <f>B31*20</f>
        <v>21.164439999999999</v>
      </c>
      <c r="D44" s="667">
        <f>B31*100</f>
        <v>105.8222</v>
      </c>
      <c r="E44" s="668">
        <f>B31*200</f>
        <v>211.64439999999999</v>
      </c>
      <c r="F44" s="608"/>
      <c r="G44" s="609"/>
      <c r="H44" s="610"/>
      <c r="I44" s="477">
        <f>10000*B31/$B44</f>
        <v>3.3069437499999998</v>
      </c>
      <c r="J44" s="479">
        <f t="shared" si="0"/>
        <v>13.227774999999999</v>
      </c>
      <c r="K44" s="676">
        <f>B31*50</f>
        <v>52.911099999999998</v>
      </c>
      <c r="L44" s="678">
        <f>B31*150</f>
        <v>158.73329999999999</v>
      </c>
      <c r="M44" s="80">
        <f>B31*300</f>
        <v>317.46659999999997</v>
      </c>
      <c r="N44" s="676">
        <f>B31*400</f>
        <v>423.28879999999998</v>
      </c>
      <c r="P44" s="57"/>
      <c r="Q44" s="57"/>
      <c r="R44" s="57"/>
    </row>
    <row r="45" spans="1:18" x14ac:dyDescent="0.25">
      <c r="A45" s="24" t="s">
        <v>105</v>
      </c>
      <c r="B45" s="25">
        <v>3600</v>
      </c>
      <c r="C45" s="666">
        <f>B31*20</f>
        <v>21.164439999999999</v>
      </c>
      <c r="D45" s="667">
        <f>B31*200</f>
        <v>211.64439999999999</v>
      </c>
      <c r="E45" s="668">
        <f>B31*400</f>
        <v>423.28879999999998</v>
      </c>
      <c r="F45" s="428">
        <f>$E$177*B31/B45</f>
        <v>8.9925353955555547</v>
      </c>
      <c r="G45" s="468">
        <f>(F45+H45)/2</f>
        <v>99.434781986666664</v>
      </c>
      <c r="H45" s="605">
        <f>(B31*$E$175*'11 Kostnader Bygg'!F54+$E$177)/B45</f>
        <v>189.87702857777776</v>
      </c>
      <c r="I45" s="477">
        <f>10000*B31/$B45</f>
        <v>2.9395055555555554</v>
      </c>
      <c r="J45" s="479">
        <f t="shared" si="0"/>
        <v>11.758022222222221</v>
      </c>
      <c r="K45" s="676">
        <f>B31*80</f>
        <v>84.657759999999996</v>
      </c>
      <c r="L45" s="678">
        <f>B31*250</f>
        <v>264.55549999999999</v>
      </c>
      <c r="M45" s="80">
        <f>B31*500</f>
        <v>529.11099999999999</v>
      </c>
      <c r="N45" s="676">
        <f>B31*650</f>
        <v>687.84429999999998</v>
      </c>
      <c r="P45" s="57"/>
      <c r="Q45" s="57"/>
      <c r="R45" s="57"/>
    </row>
    <row r="46" spans="1:18" x14ac:dyDescent="0.25">
      <c r="A46" s="26" t="s">
        <v>106</v>
      </c>
      <c r="B46" s="27">
        <v>2400</v>
      </c>
      <c r="C46" s="666">
        <f>B31*20</f>
        <v>21.164439999999999</v>
      </c>
      <c r="D46" s="674">
        <f>B31*150</f>
        <v>158.73329999999999</v>
      </c>
      <c r="E46" s="668">
        <f>B31*250</f>
        <v>264.55549999999999</v>
      </c>
      <c r="F46" s="435">
        <f>$E$177*B31/B46</f>
        <v>13.488803093333333</v>
      </c>
      <c r="G46" s="606">
        <f>(F46+H46)/2</f>
        <v>103.80736028</v>
      </c>
      <c r="H46" s="607">
        <f>(B31*$E$175*'11 Kostnader Bygg'!F55+$E$177)/B46</f>
        <v>194.12591746666666</v>
      </c>
      <c r="I46" s="478">
        <f>10000*B31/$B46</f>
        <v>4.4092583333333328</v>
      </c>
      <c r="J46" s="480">
        <f t="shared" si="0"/>
        <v>17.637033333333331</v>
      </c>
      <c r="K46" s="677">
        <f>B31*60</f>
        <v>63.493319999999997</v>
      </c>
      <c r="L46" s="680">
        <f>B31*200</f>
        <v>211.64439999999999</v>
      </c>
      <c r="M46" s="681">
        <f>B31*400</f>
        <v>423.28879999999998</v>
      </c>
      <c r="N46" s="677">
        <f>B31*500</f>
        <v>529.11099999999999</v>
      </c>
      <c r="P46" s="57"/>
      <c r="Q46" s="57"/>
      <c r="R46" s="57"/>
    </row>
    <row r="48" spans="1:18" x14ac:dyDescent="0.25">
      <c r="I48" s="697" t="s">
        <v>739</v>
      </c>
      <c r="J48" s="695"/>
      <c r="K48" s="696"/>
    </row>
    <row r="49" spans="1:22" x14ac:dyDescent="0.25">
      <c r="A49" s="73" t="s">
        <v>95</v>
      </c>
      <c r="B49" s="483" t="s">
        <v>163</v>
      </c>
      <c r="I49" s="17" t="s">
        <v>3</v>
      </c>
      <c r="J49" s="17" t="s">
        <v>143</v>
      </c>
      <c r="K49" s="17" t="s">
        <v>4</v>
      </c>
    </row>
    <row r="50" spans="1:22" x14ac:dyDescent="0.25">
      <c r="A50" s="68"/>
      <c r="B50" s="484" t="s">
        <v>174</v>
      </c>
      <c r="I50" s="17" t="s">
        <v>522</v>
      </c>
      <c r="J50" s="17" t="s">
        <v>522</v>
      </c>
      <c r="K50" s="17" t="s">
        <v>522</v>
      </c>
    </row>
    <row r="51" spans="1:22" x14ac:dyDescent="0.25">
      <c r="A51" s="339" t="s">
        <v>11</v>
      </c>
      <c r="B51" s="334">
        <v>160</v>
      </c>
      <c r="I51" s="324">
        <v>0</v>
      </c>
      <c r="J51" s="468">
        <v>0</v>
      </c>
      <c r="K51" s="465">
        <v>0</v>
      </c>
    </row>
    <row r="52" spans="1:22" x14ac:dyDescent="0.25">
      <c r="A52" s="340" t="s">
        <v>1</v>
      </c>
      <c r="B52" s="336">
        <v>900</v>
      </c>
      <c r="I52" s="324">
        <v>0</v>
      </c>
      <c r="J52" s="468">
        <f t="shared" ref="J52:J62" si="1">3500/B52</f>
        <v>3.8888888888888888</v>
      </c>
      <c r="K52" s="465">
        <f>40000/B52</f>
        <v>44.444444444444443</v>
      </c>
    </row>
    <row r="53" spans="1:22" x14ac:dyDescent="0.25">
      <c r="A53" s="24" t="s">
        <v>97</v>
      </c>
      <c r="B53" s="25">
        <v>300</v>
      </c>
      <c r="I53" s="324">
        <v>0</v>
      </c>
      <c r="J53" s="468">
        <f t="shared" si="1"/>
        <v>11.666666666666666</v>
      </c>
      <c r="K53" s="465">
        <f t="shared" ref="K53:K62" si="2">7500/B53</f>
        <v>25</v>
      </c>
      <c r="T53" s="57"/>
      <c r="U53" s="57"/>
      <c r="V53" s="57"/>
    </row>
    <row r="54" spans="1:22" x14ac:dyDescent="0.25">
      <c r="A54" s="24" t="s">
        <v>98</v>
      </c>
      <c r="B54" s="25">
        <v>3600</v>
      </c>
      <c r="I54" s="324">
        <v>0</v>
      </c>
      <c r="J54" s="464">
        <f t="shared" si="1"/>
        <v>0.97222222222222221</v>
      </c>
      <c r="K54" s="465">
        <f t="shared" si="2"/>
        <v>2.0833333333333335</v>
      </c>
      <c r="T54" s="57"/>
      <c r="U54" s="57"/>
      <c r="V54" s="57"/>
    </row>
    <row r="55" spans="1:22" x14ac:dyDescent="0.25">
      <c r="A55" s="24" t="s">
        <v>99</v>
      </c>
      <c r="B55" s="25">
        <v>2400</v>
      </c>
      <c r="I55" s="324">
        <v>0</v>
      </c>
      <c r="J55" s="464">
        <f t="shared" si="1"/>
        <v>1.4583333333333333</v>
      </c>
      <c r="K55" s="465">
        <f t="shared" si="2"/>
        <v>3.125</v>
      </c>
      <c r="T55" s="57"/>
      <c r="U55" s="57"/>
      <c r="V55" s="57"/>
    </row>
    <row r="56" spans="1:22" x14ac:dyDescent="0.25">
      <c r="A56" s="24" t="s">
        <v>100</v>
      </c>
      <c r="B56" s="25">
        <v>3600</v>
      </c>
      <c r="I56" s="324">
        <v>0</v>
      </c>
      <c r="J56" s="464">
        <f t="shared" si="1"/>
        <v>0.97222222222222221</v>
      </c>
      <c r="K56" s="465">
        <f t="shared" si="2"/>
        <v>2.0833333333333335</v>
      </c>
      <c r="T56" s="57"/>
      <c r="U56" s="57"/>
      <c r="V56" s="57"/>
    </row>
    <row r="57" spans="1:22" x14ac:dyDescent="0.25">
      <c r="A57" s="24" t="s">
        <v>101</v>
      </c>
      <c r="B57" s="25">
        <v>3600</v>
      </c>
      <c r="I57" s="324">
        <v>0</v>
      </c>
      <c r="J57" s="464">
        <f t="shared" si="1"/>
        <v>0.97222222222222221</v>
      </c>
      <c r="K57" s="465">
        <f t="shared" si="2"/>
        <v>2.0833333333333335</v>
      </c>
      <c r="T57" s="57"/>
      <c r="U57" s="57"/>
      <c r="V57" s="57"/>
    </row>
    <row r="58" spans="1:22" x14ac:dyDescent="0.25">
      <c r="A58" s="24" t="s">
        <v>102</v>
      </c>
      <c r="B58" s="25">
        <v>2400</v>
      </c>
      <c r="I58" s="324">
        <v>0</v>
      </c>
      <c r="J58" s="464">
        <f t="shared" si="1"/>
        <v>1.4583333333333333</v>
      </c>
      <c r="K58" s="465">
        <f t="shared" si="2"/>
        <v>3.125</v>
      </c>
      <c r="T58" s="57"/>
      <c r="U58" s="57"/>
      <c r="V58" s="57"/>
    </row>
    <row r="59" spans="1:22" x14ac:dyDescent="0.25">
      <c r="A59" s="24" t="s">
        <v>103</v>
      </c>
      <c r="B59" s="25">
        <v>2400</v>
      </c>
      <c r="I59" s="324">
        <v>0</v>
      </c>
      <c r="J59" s="464">
        <f t="shared" si="1"/>
        <v>1.4583333333333333</v>
      </c>
      <c r="K59" s="465">
        <f t="shared" si="2"/>
        <v>3.125</v>
      </c>
      <c r="T59" s="57"/>
      <c r="U59" s="57"/>
      <c r="V59" s="57"/>
    </row>
    <row r="60" spans="1:22" x14ac:dyDescent="0.25">
      <c r="A60" s="24" t="s">
        <v>104</v>
      </c>
      <c r="B60" s="25">
        <v>3200</v>
      </c>
      <c r="I60" s="324">
        <v>0</v>
      </c>
      <c r="J60" s="464">
        <f t="shared" si="1"/>
        <v>1.09375</v>
      </c>
      <c r="K60" s="465">
        <f t="shared" si="2"/>
        <v>2.34375</v>
      </c>
      <c r="T60" s="57"/>
      <c r="U60" s="57"/>
      <c r="V60" s="57"/>
    </row>
    <row r="61" spans="1:22" x14ac:dyDescent="0.25">
      <c r="A61" s="24" t="s">
        <v>105</v>
      </c>
      <c r="B61" s="25">
        <v>3600</v>
      </c>
      <c r="I61" s="324">
        <v>0</v>
      </c>
      <c r="J61" s="464">
        <f t="shared" si="1"/>
        <v>0.97222222222222221</v>
      </c>
      <c r="K61" s="465">
        <f t="shared" si="2"/>
        <v>2.0833333333333335</v>
      </c>
      <c r="T61" s="57"/>
      <c r="U61" s="57"/>
      <c r="V61" s="57"/>
    </row>
    <row r="62" spans="1:22" x14ac:dyDescent="0.25">
      <c r="A62" s="26" t="s">
        <v>106</v>
      </c>
      <c r="B62" s="27">
        <v>2400</v>
      </c>
      <c r="I62" s="325">
        <v>0</v>
      </c>
      <c r="J62" s="466">
        <f t="shared" si="1"/>
        <v>1.4583333333333333</v>
      </c>
      <c r="K62" s="467">
        <f t="shared" si="2"/>
        <v>3.125</v>
      </c>
      <c r="T62" s="57"/>
      <c r="U62" s="57"/>
      <c r="V62" s="57"/>
    </row>
    <row r="65" spans="1:15" s="471" customFormat="1" x14ac:dyDescent="0.25">
      <c r="A65" s="469" t="s">
        <v>5</v>
      </c>
      <c r="B65" s="470"/>
      <c r="C65" s="470" t="s">
        <v>597</v>
      </c>
      <c r="D65" s="470"/>
      <c r="E65" s="470"/>
      <c r="F65" s="470"/>
      <c r="G65" s="470"/>
      <c r="H65" s="470"/>
      <c r="I65" s="470"/>
      <c r="J65" s="470"/>
      <c r="K65" s="470"/>
      <c r="L65" s="470"/>
      <c r="M65" s="470"/>
      <c r="N65" s="470"/>
      <c r="O65" s="470" t="s">
        <v>596</v>
      </c>
    </row>
    <row r="66" spans="1:15" s="337" customFormat="1" x14ac:dyDescent="0.25">
      <c r="A66" s="472" t="s">
        <v>589</v>
      </c>
      <c r="C66" s="472" t="s">
        <v>736</v>
      </c>
      <c r="O66" s="472" t="s">
        <v>226</v>
      </c>
    </row>
    <row r="67" spans="1:15" s="337" customFormat="1" x14ac:dyDescent="0.25"/>
    <row r="68" spans="1:15" s="337" customFormat="1" x14ac:dyDescent="0.25">
      <c r="C68" s="337" t="s">
        <v>590</v>
      </c>
    </row>
    <row r="69" spans="1:15" s="337" customFormat="1" x14ac:dyDescent="0.25">
      <c r="C69" s="473" t="s">
        <v>591</v>
      </c>
    </row>
    <row r="70" spans="1:15" s="337" customFormat="1" x14ac:dyDescent="0.25">
      <c r="C70" s="337" t="s">
        <v>592</v>
      </c>
    </row>
    <row r="71" spans="1:15" s="337" customFormat="1" x14ac:dyDescent="0.25">
      <c r="C71" s="337" t="s">
        <v>593</v>
      </c>
    </row>
    <row r="72" spans="1:15" s="337" customFormat="1" x14ac:dyDescent="0.25"/>
    <row r="73" spans="1:15" s="337" customFormat="1" ht="115.5" x14ac:dyDescent="0.25">
      <c r="C73" s="472" t="s">
        <v>594</v>
      </c>
      <c r="O73" s="474" t="s">
        <v>595</v>
      </c>
    </row>
    <row r="74" spans="1:15" s="337" customFormat="1" x14ac:dyDescent="0.25"/>
    <row r="75" spans="1:15" s="337" customFormat="1" x14ac:dyDescent="0.25"/>
    <row r="76" spans="1:15" s="337" customFormat="1" x14ac:dyDescent="0.25">
      <c r="A76" s="472" t="s">
        <v>598</v>
      </c>
      <c r="C76" s="472" t="s">
        <v>737</v>
      </c>
      <c r="O76" s="472" t="s">
        <v>226</v>
      </c>
    </row>
    <row r="77" spans="1:15" s="337" customFormat="1" x14ac:dyDescent="0.25">
      <c r="A77" s="472"/>
    </row>
    <row r="78" spans="1:15" s="337" customFormat="1" x14ac:dyDescent="0.25">
      <c r="A78" s="337" t="s">
        <v>599</v>
      </c>
      <c r="C78" s="472" t="s">
        <v>738</v>
      </c>
      <c r="O78" s="472" t="s">
        <v>226</v>
      </c>
    </row>
    <row r="79" spans="1:15" s="337" customFormat="1" x14ac:dyDescent="0.25"/>
    <row r="80" spans="1:15" s="337" customFormat="1" x14ac:dyDescent="0.25"/>
    <row r="81" spans="1:15" s="337" customFormat="1" x14ac:dyDescent="0.25">
      <c r="A81" s="337" t="s">
        <v>601</v>
      </c>
      <c r="C81" s="475" t="s">
        <v>602</v>
      </c>
      <c r="O81" s="337" t="s">
        <v>600</v>
      </c>
    </row>
    <row r="82" spans="1:15" s="337" customFormat="1" x14ac:dyDescent="0.25">
      <c r="C82" s="475"/>
    </row>
    <row r="83" spans="1:15" s="337" customFormat="1" x14ac:dyDescent="0.25">
      <c r="A83" s="476" t="s">
        <v>85</v>
      </c>
      <c r="C83" s="475"/>
      <c r="O83" s="337" t="s">
        <v>603</v>
      </c>
    </row>
    <row r="84" spans="1:15" s="337" customFormat="1" x14ac:dyDescent="0.25">
      <c r="A84" s="476" t="s">
        <v>86</v>
      </c>
      <c r="C84" s="475"/>
    </row>
    <row r="85" spans="1:15" s="337" customFormat="1" x14ac:dyDescent="0.25">
      <c r="A85" s="476"/>
      <c r="C85" s="475"/>
    </row>
    <row r="86" spans="1:15" s="337" customFormat="1" x14ac:dyDescent="0.25">
      <c r="A86" s="476" t="s">
        <v>91</v>
      </c>
      <c r="C86" s="475"/>
      <c r="O86" s="337" t="s">
        <v>603</v>
      </c>
    </row>
    <row r="87" spans="1:15" s="337" customFormat="1" x14ac:dyDescent="0.25">
      <c r="A87" s="476" t="s">
        <v>92</v>
      </c>
      <c r="C87" s="475"/>
    </row>
    <row r="88" spans="1:15" s="337" customFormat="1" x14ac:dyDescent="0.25">
      <c r="C88" s="475"/>
    </row>
    <row r="89" spans="1:15" s="337" customFormat="1" x14ac:dyDescent="0.25"/>
    <row r="90" spans="1:15" s="337" customFormat="1" x14ac:dyDescent="0.25"/>
    <row r="91" spans="1:15" s="337" customFormat="1" x14ac:dyDescent="0.25"/>
    <row r="92" spans="1:15" s="337" customFormat="1" x14ac:dyDescent="0.25"/>
    <row r="93" spans="1:15" s="337" customFormat="1" x14ac:dyDescent="0.25"/>
    <row r="94" spans="1:15" s="337" customFormat="1" x14ac:dyDescent="0.25"/>
    <row r="95" spans="1:15" s="337" customFormat="1" x14ac:dyDescent="0.25"/>
    <row r="96" spans="1:15" s="337" customFormat="1" x14ac:dyDescent="0.25"/>
    <row r="97" s="337" customFormat="1" x14ac:dyDescent="0.25"/>
    <row r="98" s="337" customFormat="1" x14ac:dyDescent="0.25"/>
    <row r="99" s="337" customFormat="1" x14ac:dyDescent="0.25"/>
    <row r="100" s="337" customFormat="1" x14ac:dyDescent="0.25"/>
    <row r="101" s="337" customFormat="1" x14ac:dyDescent="0.25"/>
    <row r="102" s="337" customFormat="1" x14ac:dyDescent="0.25"/>
    <row r="103" s="337" customFormat="1" x14ac:dyDescent="0.25"/>
    <row r="104" s="337" customFormat="1" x14ac:dyDescent="0.25"/>
    <row r="105" s="337" customFormat="1" x14ac:dyDescent="0.25"/>
    <row r="106" s="337" customFormat="1" x14ac:dyDescent="0.25"/>
    <row r="107" s="337" customFormat="1" x14ac:dyDescent="0.25"/>
    <row r="108" s="337" customFormat="1" x14ac:dyDescent="0.25"/>
    <row r="109" s="337" customFormat="1" x14ac:dyDescent="0.25"/>
    <row r="110" s="337" customFormat="1" x14ac:dyDescent="0.25"/>
    <row r="111" s="337" customFormat="1" x14ac:dyDescent="0.25"/>
    <row r="112" s="337" customFormat="1" x14ac:dyDescent="0.25"/>
    <row r="113" s="337" customFormat="1" x14ac:dyDescent="0.25"/>
    <row r="114" s="337" customFormat="1" x14ac:dyDescent="0.25"/>
    <row r="115" s="337" customFormat="1" x14ac:dyDescent="0.25"/>
    <row r="116" s="337" customFormat="1" x14ac:dyDescent="0.25"/>
    <row r="117" s="337" customFormat="1" x14ac:dyDescent="0.25"/>
    <row r="118" s="337" customFormat="1" x14ac:dyDescent="0.25"/>
    <row r="119" s="337" customFormat="1" x14ac:dyDescent="0.25"/>
    <row r="120" s="337" customFormat="1" x14ac:dyDescent="0.25"/>
    <row r="121" s="337" customFormat="1" x14ac:dyDescent="0.25"/>
    <row r="122" s="337" customFormat="1" x14ac:dyDescent="0.25"/>
    <row r="123" s="337" customFormat="1" x14ac:dyDescent="0.25"/>
    <row r="124" s="337" customFormat="1" x14ac:dyDescent="0.25"/>
    <row r="125" s="337" customFormat="1" x14ac:dyDescent="0.25"/>
    <row r="126" s="337" customFormat="1" x14ac:dyDescent="0.25"/>
    <row r="127" s="337" customFormat="1" x14ac:dyDescent="0.25"/>
    <row r="128" s="337" customFormat="1" x14ac:dyDescent="0.25"/>
    <row r="129" spans="1:15" s="337" customFormat="1" x14ac:dyDescent="0.25"/>
    <row r="130" spans="1:15" s="337" customFormat="1" x14ac:dyDescent="0.25"/>
    <row r="131" spans="1:15" s="337" customFormat="1" x14ac:dyDescent="0.25"/>
    <row r="132" spans="1:15" s="3" customFormat="1" x14ac:dyDescent="0.25">
      <c r="A132" s="711" t="s">
        <v>701</v>
      </c>
      <c r="B132" s="711"/>
      <c r="C132" s="711"/>
      <c r="D132" s="711"/>
      <c r="E132" s="711"/>
      <c r="F132" s="711"/>
      <c r="G132" s="711"/>
      <c r="H132" s="711"/>
      <c r="I132" s="711"/>
      <c r="J132" s="711"/>
      <c r="K132" s="711"/>
      <c r="L132" s="711"/>
      <c r="M132" s="711"/>
      <c r="N132" s="711"/>
      <c r="O132" s="711"/>
    </row>
    <row r="133" spans="1:15" s="3" customFormat="1" x14ac:dyDescent="0.25">
      <c r="A133" s="711"/>
      <c r="B133" s="711"/>
      <c r="C133" s="711"/>
      <c r="D133" s="711"/>
      <c r="E133" s="711"/>
      <c r="F133" s="711"/>
      <c r="G133" s="711"/>
      <c r="H133" s="711"/>
      <c r="I133" s="711"/>
      <c r="J133" s="711"/>
      <c r="K133" s="711"/>
      <c r="L133" s="711"/>
      <c r="M133" s="711"/>
      <c r="N133" s="711"/>
      <c r="O133" s="711"/>
    </row>
    <row r="134" spans="1:15" s="3" customFormat="1" x14ac:dyDescent="0.25">
      <c r="A134" s="711"/>
      <c r="B134" s="711"/>
      <c r="C134" s="711"/>
      <c r="D134" s="711"/>
      <c r="E134" s="711"/>
      <c r="F134" s="711"/>
      <c r="G134" s="711"/>
      <c r="H134" s="711"/>
      <c r="I134" s="711"/>
      <c r="J134" s="711"/>
      <c r="K134" s="711"/>
      <c r="L134" s="711"/>
      <c r="M134" s="711"/>
      <c r="N134" s="711"/>
      <c r="O134" s="711"/>
    </row>
    <row r="135" spans="1:15" s="3" customFormat="1" ht="84.6" customHeight="1" x14ac:dyDescent="0.25">
      <c r="A135" s="710" t="s">
        <v>702</v>
      </c>
      <c r="B135" s="710"/>
      <c r="C135" s="710"/>
      <c r="D135" s="710"/>
      <c r="E135" s="710"/>
      <c r="F135" s="710"/>
      <c r="G135" s="710"/>
      <c r="H135" s="710"/>
      <c r="I135" s="710"/>
      <c r="J135" s="710"/>
      <c r="K135" s="710"/>
      <c r="L135" s="710"/>
      <c r="M135" s="710"/>
      <c r="N135" s="710"/>
      <c r="O135" s="710"/>
    </row>
    <row r="136" spans="1:15" s="337" customFormat="1" x14ac:dyDescent="0.25"/>
    <row r="137" spans="1:15" s="337" customFormat="1" x14ac:dyDescent="0.25"/>
    <row r="138" spans="1:15" s="3" customFormat="1" x14ac:dyDescent="0.25">
      <c r="A138" s="3" t="s">
        <v>703</v>
      </c>
      <c r="C138" s="20" t="s">
        <v>704</v>
      </c>
    </row>
    <row r="139" spans="1:15" s="3" customFormat="1" x14ac:dyDescent="0.25">
      <c r="C139" s="3" t="s">
        <v>705</v>
      </c>
    </row>
    <row r="140" spans="1:15" s="3" customFormat="1" x14ac:dyDescent="0.25">
      <c r="C140" s="3" t="s">
        <v>706</v>
      </c>
    </row>
    <row r="141" spans="1:15" s="3" customFormat="1" x14ac:dyDescent="0.25">
      <c r="C141" s="3" t="s">
        <v>707</v>
      </c>
    </row>
    <row r="142" spans="1:15" s="3" customFormat="1" x14ac:dyDescent="0.25">
      <c r="C142" s="20" t="s">
        <v>708</v>
      </c>
    </row>
    <row r="143" spans="1:15" s="3" customFormat="1" x14ac:dyDescent="0.25">
      <c r="C143" s="3" t="s">
        <v>709</v>
      </c>
    </row>
    <row r="144" spans="1:15" s="3" customFormat="1" x14ac:dyDescent="0.25">
      <c r="C144" s="21" t="s">
        <v>710</v>
      </c>
    </row>
    <row r="145" spans="2:7" s="3" customFormat="1" x14ac:dyDescent="0.25">
      <c r="C145" s="20" t="s">
        <v>711</v>
      </c>
    </row>
    <row r="146" spans="2:7" s="3" customFormat="1" x14ac:dyDescent="0.25">
      <c r="C146" s="21" t="s">
        <v>712</v>
      </c>
    </row>
    <row r="147" spans="2:7" s="3" customFormat="1" x14ac:dyDescent="0.25">
      <c r="C147" s="21" t="s">
        <v>713</v>
      </c>
    </row>
    <row r="148" spans="2:7" s="3" customFormat="1" x14ac:dyDescent="0.25">
      <c r="C148" s="21" t="s">
        <v>714</v>
      </c>
    </row>
    <row r="149" spans="2:7" s="3" customFormat="1" x14ac:dyDescent="0.25">
      <c r="C149" s="21" t="s">
        <v>715</v>
      </c>
    </row>
    <row r="150" spans="2:7" s="3" customFormat="1" x14ac:dyDescent="0.25">
      <c r="C150" s="21" t="s">
        <v>716</v>
      </c>
    </row>
    <row r="151" spans="2:7" s="3" customFormat="1" x14ac:dyDescent="0.25">
      <c r="C151" s="20" t="s">
        <v>717</v>
      </c>
    </row>
    <row r="152" spans="2:7" s="3" customFormat="1" x14ac:dyDescent="0.25">
      <c r="C152" s="21" t="s">
        <v>718</v>
      </c>
    </row>
    <row r="153" spans="2:7" s="3" customFormat="1" x14ac:dyDescent="0.25">
      <c r="C153" s="21" t="s">
        <v>719</v>
      </c>
    </row>
    <row r="154" spans="2:7" s="3" customFormat="1" x14ac:dyDescent="0.25">
      <c r="C154" s="3" t="s">
        <v>720</v>
      </c>
    </row>
    <row r="155" spans="2:7" s="3" customFormat="1" x14ac:dyDescent="0.25">
      <c r="C155" s="3" t="s">
        <v>721</v>
      </c>
    </row>
    <row r="156" spans="2:7" s="3" customFormat="1" x14ac:dyDescent="0.25"/>
    <row r="157" spans="2:7" s="3" customFormat="1" x14ac:dyDescent="0.25">
      <c r="C157" s="3" t="s">
        <v>722</v>
      </c>
    </row>
    <row r="158" spans="2:7" s="3" customFormat="1" x14ac:dyDescent="0.25">
      <c r="B158" s="3" t="s">
        <v>748</v>
      </c>
      <c r="C158" s="3" t="s">
        <v>723</v>
      </c>
      <c r="F158" s="3">
        <v>2000</v>
      </c>
      <c r="G158" s="3" t="s">
        <v>746</v>
      </c>
    </row>
    <row r="159" spans="2:7" s="3" customFormat="1" x14ac:dyDescent="0.25">
      <c r="B159" s="3" t="s">
        <v>748</v>
      </c>
      <c r="C159" s="3" t="s">
        <v>741</v>
      </c>
      <c r="F159" s="3" t="s">
        <v>740</v>
      </c>
      <c r="G159" s="3" t="s">
        <v>746</v>
      </c>
    </row>
    <row r="160" spans="2:7" s="3" customFormat="1" x14ac:dyDescent="0.25"/>
    <row r="161" spans="1:7" s="3" customFormat="1" x14ac:dyDescent="0.25">
      <c r="B161" s="3" t="s">
        <v>748</v>
      </c>
      <c r="C161" s="3" t="s">
        <v>724</v>
      </c>
      <c r="F161" s="3">
        <v>3000</v>
      </c>
      <c r="G161" s="3" t="s">
        <v>747</v>
      </c>
    </row>
    <row r="162" spans="1:7" s="3" customFormat="1" x14ac:dyDescent="0.25">
      <c r="B162" s="3" t="s">
        <v>748</v>
      </c>
      <c r="C162" s="3" t="s">
        <v>725</v>
      </c>
      <c r="F162" s="3">
        <f>2*130</f>
        <v>260</v>
      </c>
      <c r="G162" s="3" t="s">
        <v>747</v>
      </c>
    </row>
    <row r="163" spans="1:7" s="3" customFormat="1" x14ac:dyDescent="0.25"/>
    <row r="164" spans="1:7" s="3" customFormat="1" x14ac:dyDescent="0.25">
      <c r="B164" s="3" t="s">
        <v>749</v>
      </c>
      <c r="C164" s="3" t="s">
        <v>742</v>
      </c>
      <c r="F164" s="640">
        <f>25000*5</f>
        <v>125000</v>
      </c>
      <c r="G164" s="3" t="s">
        <v>746</v>
      </c>
    </row>
    <row r="165" spans="1:7" s="3" customFormat="1" x14ac:dyDescent="0.25">
      <c r="B165" s="3" t="s">
        <v>749</v>
      </c>
      <c r="C165" s="3" t="s">
        <v>743</v>
      </c>
      <c r="F165" s="640">
        <f>10000*5</f>
        <v>50000</v>
      </c>
      <c r="G165" s="3" t="s">
        <v>746</v>
      </c>
    </row>
    <row r="166" spans="1:7" s="3" customFormat="1" x14ac:dyDescent="0.25">
      <c r="B166" s="3" t="s">
        <v>749</v>
      </c>
      <c r="C166" s="3" t="s">
        <v>744</v>
      </c>
      <c r="F166" s="640">
        <v>30000</v>
      </c>
      <c r="G166" s="3" t="s">
        <v>746</v>
      </c>
    </row>
    <row r="167" spans="1:7" s="3" customFormat="1" x14ac:dyDescent="0.25">
      <c r="B167" s="3" t="s">
        <v>749</v>
      </c>
      <c r="C167" s="3" t="s">
        <v>751</v>
      </c>
      <c r="F167" s="640">
        <v>40000</v>
      </c>
      <c r="G167" s="3" t="s">
        <v>746</v>
      </c>
    </row>
    <row r="168" spans="1:7" s="3" customFormat="1" x14ac:dyDescent="0.25"/>
    <row r="169" spans="1:7" s="3" customFormat="1" x14ac:dyDescent="0.25">
      <c r="B169" s="3" t="s">
        <v>749</v>
      </c>
      <c r="C169" s="3" t="s">
        <v>745</v>
      </c>
      <c r="F169" s="3">
        <f>350*10</f>
        <v>3500</v>
      </c>
      <c r="G169" s="3" t="s">
        <v>747</v>
      </c>
    </row>
    <row r="170" spans="1:7" s="3" customFormat="1" x14ac:dyDescent="0.25">
      <c r="B170" s="3" t="s">
        <v>749</v>
      </c>
      <c r="C170" s="3" t="s">
        <v>750</v>
      </c>
      <c r="F170" s="3">
        <v>500</v>
      </c>
      <c r="G170" s="3" t="s">
        <v>747</v>
      </c>
    </row>
    <row r="172" spans="1:7" s="3" customFormat="1" ht="15.75" x14ac:dyDescent="0.25">
      <c r="A172" s="634" t="s">
        <v>891</v>
      </c>
    </row>
    <row r="173" spans="1:7" s="3" customFormat="1" ht="15.75" x14ac:dyDescent="0.25">
      <c r="A173" s="634"/>
    </row>
    <row r="174" spans="1:7" s="3" customFormat="1" ht="15.75" x14ac:dyDescent="0.25">
      <c r="A174" s="634" t="s">
        <v>5</v>
      </c>
    </row>
    <row r="175" spans="1:7" s="3" customFormat="1" x14ac:dyDescent="0.25">
      <c r="A175" s="3" t="s">
        <v>906</v>
      </c>
      <c r="E175" s="3">
        <v>857</v>
      </c>
      <c r="F175" s="3" t="s">
        <v>907</v>
      </c>
    </row>
    <row r="176" spans="1:7" s="3" customFormat="1" x14ac:dyDescent="0.25">
      <c r="A176" s="3" t="s">
        <v>908</v>
      </c>
      <c r="E176" s="3">
        <v>710</v>
      </c>
      <c r="F176" s="3" t="s">
        <v>907</v>
      </c>
    </row>
    <row r="177" spans="1:6" s="3" customFormat="1" ht="15.75" x14ac:dyDescent="0.25">
      <c r="A177" s="635" t="s">
        <v>909</v>
      </c>
      <c r="E177" s="3">
        <v>30592</v>
      </c>
      <c r="F177" s="3" t="s">
        <v>901</v>
      </c>
    </row>
    <row r="178" spans="1:6" s="337" customFormat="1" x14ac:dyDescent="0.25"/>
    <row r="179" spans="1:6" s="337" customFormat="1" x14ac:dyDescent="0.25"/>
    <row r="180" spans="1:6" s="337" customFormat="1" x14ac:dyDescent="0.25"/>
  </sheetData>
  <mergeCells count="7">
    <mergeCell ref="A135:O135"/>
    <mergeCell ref="I48:K48"/>
    <mergeCell ref="C32:E32"/>
    <mergeCell ref="F32:H32"/>
    <mergeCell ref="I32:K32"/>
    <mergeCell ref="L32:N32"/>
    <mergeCell ref="A132:O134"/>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
  <sheetViews>
    <sheetView zoomScale="90" zoomScaleNormal="90" workbookViewId="0"/>
  </sheetViews>
  <sheetFormatPr baseColWidth="10" defaultColWidth="9.140625" defaultRowHeight="15" x14ac:dyDescent="0.25"/>
  <cols>
    <col min="1" max="1" width="38.7109375" customWidth="1"/>
    <col min="5" max="5" width="11.28515625" customWidth="1"/>
    <col min="6" max="6" width="12" customWidth="1"/>
    <col min="7" max="7" width="12.140625" customWidth="1"/>
    <col min="8" max="8" width="74.28515625" customWidth="1"/>
    <col min="12" max="12" width="102" customWidth="1"/>
    <col min="18" max="18" width="35.28515625" customWidth="1"/>
    <col min="19" max="19" width="29.7109375" customWidth="1"/>
  </cols>
  <sheetData>
    <row r="1" spans="1:14" x14ac:dyDescent="0.25">
      <c r="A1" s="4" t="s">
        <v>685</v>
      </c>
      <c r="N1" s="4"/>
    </row>
    <row r="3" spans="1:14" x14ac:dyDescent="0.25">
      <c r="A3" s="18"/>
      <c r="B3" s="715" t="s">
        <v>681</v>
      </c>
      <c r="C3" s="716"/>
      <c r="D3" s="717"/>
      <c r="E3" s="715" t="s">
        <v>688</v>
      </c>
      <c r="F3" s="716"/>
      <c r="G3" s="717"/>
      <c r="H3" s="456" t="s">
        <v>698</v>
      </c>
      <c r="I3" s="712" t="s">
        <v>687</v>
      </c>
      <c r="J3" s="713"/>
      <c r="K3" s="714"/>
      <c r="L3" s="443" t="s">
        <v>686</v>
      </c>
    </row>
    <row r="4" spans="1:14" x14ac:dyDescent="0.25">
      <c r="A4" s="436" t="s">
        <v>5</v>
      </c>
      <c r="B4" s="437" t="s">
        <v>3</v>
      </c>
      <c r="C4" s="438" t="s">
        <v>143</v>
      </c>
      <c r="D4" s="439" t="s">
        <v>4</v>
      </c>
      <c r="E4" s="437" t="s">
        <v>3</v>
      </c>
      <c r="F4" s="438" t="s">
        <v>143</v>
      </c>
      <c r="G4" s="439" t="s">
        <v>4</v>
      </c>
      <c r="H4" s="438"/>
      <c r="I4" s="444" t="s">
        <v>3</v>
      </c>
      <c r="J4" s="445" t="s">
        <v>143</v>
      </c>
      <c r="K4" s="446" t="s">
        <v>4</v>
      </c>
      <c r="L4" s="447"/>
    </row>
    <row r="5" spans="1:14" x14ac:dyDescent="0.25">
      <c r="A5" s="91" t="s">
        <v>609</v>
      </c>
      <c r="B5" s="77">
        <v>0.06</v>
      </c>
      <c r="C5" s="77">
        <v>0.06</v>
      </c>
      <c r="D5" s="77">
        <v>0.06</v>
      </c>
      <c r="E5" s="332">
        <v>60</v>
      </c>
      <c r="F5" s="333">
        <v>60</v>
      </c>
      <c r="G5" s="334">
        <v>60</v>
      </c>
      <c r="H5" s="2" t="s">
        <v>699</v>
      </c>
      <c r="I5" s="448">
        <v>40</v>
      </c>
      <c r="J5" s="449">
        <v>60</v>
      </c>
      <c r="K5" s="450">
        <v>80</v>
      </c>
      <c r="L5" s="451" t="s">
        <v>1001</v>
      </c>
    </row>
    <row r="6" spans="1:14" x14ac:dyDescent="0.25">
      <c r="A6" s="91" t="s">
        <v>610</v>
      </c>
      <c r="B6" s="77">
        <v>0.06</v>
      </c>
      <c r="C6" s="77">
        <v>0.06</v>
      </c>
      <c r="D6" s="77">
        <v>0.06</v>
      </c>
      <c r="E6" s="335">
        <v>60</v>
      </c>
      <c r="F6" s="2">
        <v>60</v>
      </c>
      <c r="G6" s="336">
        <v>60</v>
      </c>
      <c r="H6" s="2" t="s">
        <v>699</v>
      </c>
      <c r="I6" s="448">
        <v>40</v>
      </c>
      <c r="J6" s="449">
        <v>60</v>
      </c>
      <c r="K6" s="450">
        <v>80</v>
      </c>
      <c r="L6" s="451" t="s">
        <v>1001</v>
      </c>
    </row>
    <row r="7" spans="1:14" x14ac:dyDescent="0.25">
      <c r="A7" s="91" t="s">
        <v>611</v>
      </c>
      <c r="B7" s="77">
        <v>0.06</v>
      </c>
      <c r="C7" s="77">
        <v>0.06</v>
      </c>
      <c r="D7" s="77">
        <v>0.06</v>
      </c>
      <c r="E7" s="335">
        <v>60</v>
      </c>
      <c r="F7" s="2">
        <v>60</v>
      </c>
      <c r="G7" s="336">
        <v>60</v>
      </c>
      <c r="H7" s="2" t="s">
        <v>699</v>
      </c>
      <c r="I7" s="448">
        <v>40</v>
      </c>
      <c r="J7" s="449">
        <v>60</v>
      </c>
      <c r="K7" s="450">
        <v>80</v>
      </c>
      <c r="L7" s="451" t="s">
        <v>1001</v>
      </c>
    </row>
    <row r="8" spans="1:14" x14ac:dyDescent="0.25">
      <c r="A8" s="91" t="s">
        <v>613</v>
      </c>
      <c r="B8" s="77">
        <v>0.06</v>
      </c>
      <c r="C8" s="77">
        <v>0.06</v>
      </c>
      <c r="D8" s="77">
        <v>0.06</v>
      </c>
      <c r="E8" s="335">
        <v>30</v>
      </c>
      <c r="F8" s="2">
        <v>30</v>
      </c>
      <c r="G8" s="336">
        <v>30</v>
      </c>
      <c r="H8" s="2" t="s">
        <v>700</v>
      </c>
      <c r="I8" s="448">
        <v>20</v>
      </c>
      <c r="J8" s="449">
        <v>40</v>
      </c>
      <c r="K8" s="450">
        <v>60</v>
      </c>
      <c r="L8" s="451" t="s">
        <v>1002</v>
      </c>
    </row>
    <row r="9" spans="1:14" x14ac:dyDescent="0.25">
      <c r="A9" s="91" t="s">
        <v>683</v>
      </c>
      <c r="B9" s="77">
        <v>0.06</v>
      </c>
      <c r="C9" s="77">
        <v>0.06</v>
      </c>
      <c r="D9" s="77">
        <v>0.06</v>
      </c>
      <c r="E9" s="335">
        <v>20</v>
      </c>
      <c r="F9" s="457">
        <v>20</v>
      </c>
      <c r="G9" s="336">
        <v>20</v>
      </c>
      <c r="H9" s="2" t="s">
        <v>726</v>
      </c>
      <c r="I9" s="448">
        <v>15</v>
      </c>
      <c r="J9" s="449">
        <v>20</v>
      </c>
      <c r="K9" s="450">
        <v>25</v>
      </c>
      <c r="L9" s="452" t="s">
        <v>727</v>
      </c>
    </row>
    <row r="10" spans="1:14" x14ac:dyDescent="0.25">
      <c r="A10" s="91" t="s">
        <v>682</v>
      </c>
      <c r="B10" s="77">
        <v>0.06</v>
      </c>
      <c r="C10" s="77">
        <v>0.06</v>
      </c>
      <c r="D10" s="77">
        <v>0.06</v>
      </c>
      <c r="E10" s="335">
        <v>20</v>
      </c>
      <c r="F10" s="434">
        <v>20</v>
      </c>
      <c r="G10" s="336">
        <v>20</v>
      </c>
      <c r="H10" s="2" t="s">
        <v>726</v>
      </c>
      <c r="I10" s="448">
        <v>10</v>
      </c>
      <c r="J10" s="449">
        <v>20</v>
      </c>
      <c r="K10" s="450">
        <v>30</v>
      </c>
      <c r="L10" s="452" t="s">
        <v>728</v>
      </c>
    </row>
    <row r="11" spans="1:14" x14ac:dyDescent="0.25">
      <c r="A11" s="91" t="s">
        <v>684</v>
      </c>
      <c r="B11" s="77">
        <v>0.06</v>
      </c>
      <c r="C11" s="77">
        <v>0.06</v>
      </c>
      <c r="D11" s="77">
        <v>0.06</v>
      </c>
      <c r="E11" s="335">
        <v>20</v>
      </c>
      <c r="F11" s="434">
        <v>20</v>
      </c>
      <c r="G11" s="336">
        <v>20</v>
      </c>
      <c r="H11" s="2" t="s">
        <v>726</v>
      </c>
      <c r="I11" s="448">
        <v>10</v>
      </c>
      <c r="J11" s="449">
        <v>20</v>
      </c>
      <c r="K11" s="450">
        <v>40</v>
      </c>
      <c r="L11" s="452" t="s">
        <v>729</v>
      </c>
    </row>
    <row r="12" spans="1:14" x14ac:dyDescent="0.25">
      <c r="A12" s="91" t="s">
        <v>284</v>
      </c>
      <c r="B12" s="77">
        <v>0.06</v>
      </c>
      <c r="C12" s="77">
        <v>0.06</v>
      </c>
      <c r="D12" s="77">
        <v>0.06</v>
      </c>
      <c r="E12" s="335">
        <v>15</v>
      </c>
      <c r="F12" s="457">
        <v>15</v>
      </c>
      <c r="G12" s="336">
        <v>15</v>
      </c>
      <c r="H12" s="2" t="s">
        <v>733</v>
      </c>
      <c r="I12" s="448">
        <v>10</v>
      </c>
      <c r="J12" s="449">
        <v>15</v>
      </c>
      <c r="K12" s="450">
        <v>20</v>
      </c>
      <c r="L12" s="452" t="s">
        <v>1057</v>
      </c>
    </row>
    <row r="13" spans="1:14" x14ac:dyDescent="0.25">
      <c r="A13" s="91" t="s">
        <v>517</v>
      </c>
      <c r="B13" s="77">
        <v>0.06</v>
      </c>
      <c r="C13" s="77">
        <v>0.06</v>
      </c>
      <c r="D13" s="77">
        <v>0.06</v>
      </c>
      <c r="E13" s="335">
        <v>15</v>
      </c>
      <c r="F13" s="434">
        <v>15</v>
      </c>
      <c r="G13" s="336">
        <v>15</v>
      </c>
      <c r="H13" s="2" t="s">
        <v>733</v>
      </c>
      <c r="I13" s="448">
        <v>10</v>
      </c>
      <c r="J13" s="449">
        <v>15</v>
      </c>
      <c r="K13" s="450">
        <v>20</v>
      </c>
      <c r="L13" s="452" t="s">
        <v>732</v>
      </c>
    </row>
    <row r="14" spans="1:14" x14ac:dyDescent="0.25">
      <c r="A14" s="91" t="s">
        <v>516</v>
      </c>
      <c r="B14" s="77">
        <v>0.06</v>
      </c>
      <c r="C14" s="77">
        <v>0.06</v>
      </c>
      <c r="D14" s="77">
        <v>0.06</v>
      </c>
      <c r="E14" s="335">
        <v>12</v>
      </c>
      <c r="F14" s="457">
        <v>12</v>
      </c>
      <c r="G14" s="336">
        <v>12</v>
      </c>
      <c r="H14" s="2" t="s">
        <v>731</v>
      </c>
      <c r="I14" s="448">
        <v>10</v>
      </c>
      <c r="J14" s="449">
        <v>12</v>
      </c>
      <c r="K14" s="450">
        <v>15</v>
      </c>
      <c r="L14" s="452" t="s">
        <v>730</v>
      </c>
    </row>
    <row r="15" spans="1:14" x14ac:dyDescent="0.25">
      <c r="A15" s="91" t="s">
        <v>586</v>
      </c>
      <c r="B15" s="77">
        <v>0.06</v>
      </c>
      <c r="C15" s="77">
        <v>0.06</v>
      </c>
      <c r="D15" s="77">
        <v>0.06</v>
      </c>
      <c r="E15" s="335">
        <v>15</v>
      </c>
      <c r="F15" s="457">
        <v>15</v>
      </c>
      <c r="G15" s="336">
        <v>15</v>
      </c>
      <c r="H15" s="2" t="s">
        <v>733</v>
      </c>
      <c r="I15" s="448">
        <v>10</v>
      </c>
      <c r="J15" s="449">
        <v>15</v>
      </c>
      <c r="K15" s="450">
        <v>25</v>
      </c>
      <c r="L15" s="452" t="s">
        <v>1068</v>
      </c>
    </row>
    <row r="16" spans="1:14" x14ac:dyDescent="0.25">
      <c r="A16" s="91" t="s">
        <v>587</v>
      </c>
      <c r="B16" s="77">
        <v>0.06</v>
      </c>
      <c r="C16" s="77">
        <v>0.06</v>
      </c>
      <c r="D16" s="77">
        <v>0.06</v>
      </c>
      <c r="E16" s="335">
        <v>10</v>
      </c>
      <c r="F16" s="457">
        <v>10</v>
      </c>
      <c r="G16" s="336">
        <v>10</v>
      </c>
      <c r="H16" s="2" t="s">
        <v>1071</v>
      </c>
      <c r="I16" s="448">
        <v>10</v>
      </c>
      <c r="J16" s="449">
        <v>10</v>
      </c>
      <c r="K16" s="450">
        <v>10</v>
      </c>
      <c r="L16" s="452" t="s">
        <v>1072</v>
      </c>
    </row>
    <row r="17" spans="1:12" x14ac:dyDescent="0.25">
      <c r="A17" s="68" t="s">
        <v>530</v>
      </c>
      <c r="B17" s="441">
        <v>0.06</v>
      </c>
      <c r="C17" s="88">
        <v>0.06</v>
      </c>
      <c r="D17" s="442">
        <v>0.06</v>
      </c>
      <c r="E17" s="405">
        <v>15</v>
      </c>
      <c r="F17" s="458">
        <v>15</v>
      </c>
      <c r="G17" s="407">
        <v>15</v>
      </c>
      <c r="H17" s="405" t="s">
        <v>733</v>
      </c>
      <c r="I17" s="453">
        <v>10</v>
      </c>
      <c r="J17" s="454">
        <v>15</v>
      </c>
      <c r="K17" s="455">
        <v>25</v>
      </c>
      <c r="L17" s="447" t="s">
        <v>1073</v>
      </c>
    </row>
  </sheetData>
  <mergeCells count="3">
    <mergeCell ref="I3:K3"/>
    <mergeCell ref="B3:D3"/>
    <mergeCell ref="E3:G3"/>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8"/>
  <sheetViews>
    <sheetView tabSelected="1" zoomScale="70" zoomScaleNormal="70" workbookViewId="0">
      <pane xSplit="1" ySplit="3" topLeftCell="C295" activePane="bottomRight" state="frozen"/>
      <selection pane="topRight" activeCell="B1" sqref="B1"/>
      <selection pane="bottomLeft" activeCell="A4" sqref="A4"/>
      <selection pane="bottomRight" activeCell="AA118" sqref="AA118"/>
    </sheetView>
  </sheetViews>
  <sheetFormatPr baseColWidth="10" defaultColWidth="9.140625" defaultRowHeight="15" x14ac:dyDescent="0.25"/>
  <cols>
    <col min="1" max="1" width="19.7109375" customWidth="1"/>
    <col min="2" max="2" width="30.42578125" customWidth="1"/>
    <col min="3" max="3" width="14.42578125" customWidth="1"/>
    <col min="4" max="4" width="14" bestFit="1" customWidth="1"/>
    <col min="5" max="15" width="10.7109375" customWidth="1"/>
  </cols>
  <sheetData>
    <row r="1" spans="1:17" x14ac:dyDescent="0.25">
      <c r="A1" s="4" t="s">
        <v>553</v>
      </c>
    </row>
    <row r="3" spans="1:17" x14ac:dyDescent="0.25">
      <c r="A3" t="s">
        <v>5</v>
      </c>
      <c r="D3" t="s">
        <v>11</v>
      </c>
      <c r="E3" t="s">
        <v>1</v>
      </c>
      <c r="F3" s="1" t="s">
        <v>97</v>
      </c>
      <c r="G3" s="78" t="s">
        <v>1093</v>
      </c>
      <c r="H3" s="78" t="s">
        <v>1094</v>
      </c>
      <c r="I3" s="78" t="s">
        <v>1095</v>
      </c>
      <c r="J3" s="78" t="s">
        <v>101</v>
      </c>
      <c r="K3" s="78" t="s">
        <v>102</v>
      </c>
      <c r="L3" s="78" t="s">
        <v>862</v>
      </c>
      <c r="M3" s="78" t="s">
        <v>1096</v>
      </c>
      <c r="N3" s="78" t="s">
        <v>1097</v>
      </c>
      <c r="O3" s="78" t="s">
        <v>1098</v>
      </c>
      <c r="P3" s="1"/>
      <c r="Q3" s="1"/>
    </row>
    <row r="4" spans="1:17" x14ac:dyDescent="0.25">
      <c r="F4" s="1"/>
      <c r="G4" s="78"/>
      <c r="J4" s="1"/>
      <c r="K4" s="78"/>
      <c r="N4" s="1"/>
      <c r="O4" s="78"/>
      <c r="P4" s="1"/>
      <c r="Q4" s="1"/>
    </row>
    <row r="5" spans="1:17" x14ac:dyDescent="0.25">
      <c r="A5" t="s">
        <v>609</v>
      </c>
      <c r="B5" t="s">
        <v>676</v>
      </c>
      <c r="C5" t="s">
        <v>3</v>
      </c>
      <c r="D5" s="62">
        <f>'8 Lav energibesparelse'!D42</f>
        <v>29.299999999999983</v>
      </c>
      <c r="E5" s="62">
        <f>'8 Lav energibesparelse'!F42</f>
        <v>17.700000000000017</v>
      </c>
      <c r="F5" s="62">
        <f>'8 Lav energibesparelse'!H42</f>
        <v>17.900000000000006</v>
      </c>
      <c r="G5" s="62">
        <f>'8 Lav energibesparelse'!J42</f>
        <v>12.199999999999989</v>
      </c>
      <c r="H5" s="62">
        <f>'8 Lav energibesparelse'!L42</f>
        <v>17.199999999999989</v>
      </c>
      <c r="I5" s="62">
        <f>'8 Lav energibesparelse'!N42</f>
        <v>13.199999999999989</v>
      </c>
      <c r="J5" s="62">
        <f>'8 Lav energibesparelse'!P42</f>
        <v>16.299999999999955</v>
      </c>
      <c r="K5" s="62">
        <f>'8 Lav energibesparelse'!R42</f>
        <v>12.400000000000034</v>
      </c>
      <c r="L5" s="62">
        <f>'8 Lav energibesparelse'!T42</f>
        <v>21</v>
      </c>
      <c r="M5" s="62">
        <f>'8 Lav energibesparelse'!V42</f>
        <v>31.099999999999994</v>
      </c>
      <c r="N5" s="62">
        <f>'8 Lav energibesparelse'!X42</f>
        <v>15.299999999999983</v>
      </c>
      <c r="O5" s="62">
        <f>'8 Lav energibesparelse'!Z42</f>
        <v>19.400000000000006</v>
      </c>
    </row>
    <row r="6" spans="1:17" x14ac:dyDescent="0.25">
      <c r="C6" t="s">
        <v>143</v>
      </c>
      <c r="D6" s="62">
        <f>'9 Median energibesparelse'!D42</f>
        <v>54.700000000000017</v>
      </c>
      <c r="E6" s="62">
        <f>'9 Median energibesparelse'!F42</f>
        <v>50.800000000000011</v>
      </c>
      <c r="F6" s="62">
        <f>'9 Median energibesparelse'!H42</f>
        <v>31.000000000000028</v>
      </c>
      <c r="G6" s="62">
        <f>'9 Median energibesparelse'!J42</f>
        <v>34.700000000000017</v>
      </c>
      <c r="H6" s="62">
        <f>'9 Median energibesparelse'!L42</f>
        <v>36.199999999999989</v>
      </c>
      <c r="I6" s="62">
        <f>'9 Median energibesparelse'!N42</f>
        <v>36.300000000000011</v>
      </c>
      <c r="J6" s="62">
        <f>'9 Median energibesparelse'!P42</f>
        <v>39.400000000000091</v>
      </c>
      <c r="K6" s="62">
        <f>'9 Median energibesparelse'!R42</f>
        <v>18.599999999999966</v>
      </c>
      <c r="L6" s="62">
        <f>'9 Median energibesparelse'!T42</f>
        <v>40.199999999999989</v>
      </c>
      <c r="M6" s="62">
        <f>'9 Median energibesparelse'!V42</f>
        <v>62.5</v>
      </c>
      <c r="N6" s="62">
        <f>'9 Median energibesparelse'!X42</f>
        <v>38.5</v>
      </c>
      <c r="O6" s="62">
        <f>'9 Median energibesparelse'!Z42</f>
        <v>39.5</v>
      </c>
    </row>
    <row r="7" spans="1:17" x14ac:dyDescent="0.25">
      <c r="C7" t="s">
        <v>4</v>
      </c>
      <c r="D7" s="62">
        <f>'10 Høy energibesparelse'!D42</f>
        <v>152.80000000000001</v>
      </c>
      <c r="E7" s="62">
        <f>'10 Høy energibesparelse'!F42</f>
        <v>119.19999999999999</v>
      </c>
      <c r="F7" s="62">
        <f>'10 Høy energibesparelse'!H42</f>
        <v>85.200000000000045</v>
      </c>
      <c r="G7" s="62">
        <f>'10 Høy energibesparelse'!J42</f>
        <v>61.5</v>
      </c>
      <c r="H7" s="62">
        <f>'10 Høy energibesparelse'!L42</f>
        <v>59.699999999999989</v>
      </c>
      <c r="I7" s="62">
        <f>'10 Høy energibesparelse'!N42</f>
        <v>62.699999999999989</v>
      </c>
      <c r="J7" s="62">
        <f>'10 Høy energibesparelse'!P42</f>
        <v>65.799999999999955</v>
      </c>
      <c r="K7" s="62">
        <f>'10 Høy energibesparelse'!R42</f>
        <v>42.399999999999977</v>
      </c>
      <c r="L7" s="62">
        <f>'10 Høy energibesparelse'!T42</f>
        <v>63.100000000000023</v>
      </c>
      <c r="M7" s="62">
        <f>'10 Høy energibesparelse'!V42</f>
        <v>104.5</v>
      </c>
      <c r="N7" s="62">
        <f>'10 Høy energibesparelse'!X42</f>
        <v>64.899999999999977</v>
      </c>
      <c r="O7" s="62">
        <f>'10 Høy energibesparelse'!Z42</f>
        <v>65.300000000000011</v>
      </c>
    </row>
    <row r="8" spans="1:17" x14ac:dyDescent="0.25">
      <c r="B8" t="s">
        <v>677</v>
      </c>
      <c r="C8" t="s">
        <v>3</v>
      </c>
      <c r="D8" s="555">
        <f>'11 Kostnader Bygg'!$I$44</f>
        <v>3316.5625</v>
      </c>
      <c r="E8" s="555">
        <f>'11 Kostnader Bygg'!$I$45</f>
        <v>1485.4222222222222</v>
      </c>
      <c r="F8" s="616">
        <f>'11 Kostnader Bygg'!$I$46</f>
        <v>1203.1372199999998</v>
      </c>
      <c r="G8" s="555">
        <f>'11 Kostnader Bygg'!$I$47</f>
        <v>817.57777777777778</v>
      </c>
      <c r="H8" s="555">
        <f>'11 Kostnader Bygg'!$I$48</f>
        <v>828.16666666666663</v>
      </c>
      <c r="I8" s="555">
        <f>'11 Kostnader Bygg'!$I$49</f>
        <v>817.57777777777778</v>
      </c>
      <c r="J8" s="555">
        <f>'11 Kostnader Bygg'!$I$50</f>
        <v>817.57777777777778</v>
      </c>
      <c r="K8" s="555">
        <f>'11 Kostnader Bygg'!$I$51</f>
        <v>828.16666666666663</v>
      </c>
      <c r="L8" s="555">
        <f>'11 Kostnader Bygg'!$I$52</f>
        <v>664.4666666666667</v>
      </c>
      <c r="M8" s="555">
        <f>'11 Kostnader Bygg'!$I$53</f>
        <v>1599.40625</v>
      </c>
      <c r="N8" s="555">
        <f>'11 Kostnader Bygg'!$I$54</f>
        <v>817.57777777777778</v>
      </c>
      <c r="O8" s="555">
        <f>'11 Kostnader Bygg'!$I$55</f>
        <v>828.16666666666663</v>
      </c>
    </row>
    <row r="9" spans="1:17" x14ac:dyDescent="0.25">
      <c r="B9" t="s">
        <v>1013</v>
      </c>
      <c r="C9" t="s">
        <v>143</v>
      </c>
      <c r="D9" s="555">
        <f>'11 Kostnader Bygg'!$J$44</f>
        <v>3522.7354062500003</v>
      </c>
      <c r="E9" s="555">
        <f>'11 Kostnader Bygg'!$J$45</f>
        <v>2072.9684611111111</v>
      </c>
      <c r="F9" s="616">
        <f>'11 Kostnader Bygg'!$J$46</f>
        <v>1226.91372</v>
      </c>
      <c r="G9" s="555">
        <f>'11 Kostnader Bygg'!$J$47</f>
        <v>1109.4017111111111</v>
      </c>
      <c r="H9" s="555">
        <f>'11 Kostnader Bygg'!$J$48</f>
        <v>1132.8025666666667</v>
      </c>
      <c r="I9" s="555">
        <f>'11 Kostnader Bygg'!$J$49</f>
        <v>1109.4017111111111</v>
      </c>
      <c r="J9" s="555">
        <f>'11 Kostnader Bygg'!$J$50</f>
        <v>1109.4017111111111</v>
      </c>
      <c r="K9" s="555">
        <f>'11 Kostnader Bygg'!$J$51</f>
        <v>439.00978666666674</v>
      </c>
      <c r="L9" s="555">
        <f>'11 Kostnader Bygg'!$J$52</f>
        <v>929.12634583333329</v>
      </c>
      <c r="M9" s="555">
        <f>'11 Kostnader Bygg'!$J$53</f>
        <v>2157.3072593750003</v>
      </c>
      <c r="N9" s="555">
        <f>'11 Kostnader Bygg'!$J$54</f>
        <v>1109.4017111111111</v>
      </c>
      <c r="O9" s="555">
        <f>'11 Kostnader Bygg'!$J$55</f>
        <v>1132.8025666666667</v>
      </c>
    </row>
    <row r="10" spans="1:17" x14ac:dyDescent="0.25">
      <c r="C10" t="s">
        <v>4</v>
      </c>
      <c r="D10" s="555">
        <f>'11 Kostnader Bygg'!$K$44</f>
        <v>4021.375</v>
      </c>
      <c r="E10" s="555">
        <f>'11 Kostnader Bygg'!$K$45</f>
        <v>2139.9888888888891</v>
      </c>
      <c r="F10" s="555">
        <f>'11 Kostnader Bygg'!$K$46</f>
        <v>1471.8705533333334</v>
      </c>
      <c r="G10" s="555">
        <f>'11 Kostnader Bygg'!$K$47</f>
        <v>1154.588888888889</v>
      </c>
      <c r="H10" s="555">
        <f>'11 Kostnader Bygg'!$K$48</f>
        <v>1179.6833333333334</v>
      </c>
      <c r="I10" s="555">
        <f>'11 Kostnader Bygg'!$K$49</f>
        <v>1154.588888888889</v>
      </c>
      <c r="J10" s="555">
        <f>'11 Kostnader Bygg'!$K$50</f>
        <v>1154.588888888889</v>
      </c>
      <c r="K10" s="555">
        <f>'11 Kostnader Bygg'!$K$51</f>
        <v>525.93232833333332</v>
      </c>
      <c r="L10" s="555">
        <f>'11 Kostnader Bygg'!$K$52</f>
        <v>960.19166666666672</v>
      </c>
      <c r="M10" s="555">
        <f>'11 Kostnader Bygg'!$K$53</f>
        <v>2238.125</v>
      </c>
      <c r="N10" s="555">
        <f>'11 Kostnader Bygg'!$K$54</f>
        <v>1154.588888888889</v>
      </c>
      <c r="O10" s="555">
        <f>'11 Kostnader Bygg'!$K$55</f>
        <v>1179.6833333333334</v>
      </c>
    </row>
    <row r="11" spans="1:17" x14ac:dyDescent="0.25">
      <c r="B11" s="592" t="s">
        <v>1014</v>
      </c>
      <c r="C11" s="592" t="s">
        <v>3</v>
      </c>
      <c r="D11" s="593">
        <f>'11 Kostnader Bygg'!$I$60</f>
        <v>1410</v>
      </c>
      <c r="E11" s="593">
        <f>'11 Kostnader Bygg'!$I$61</f>
        <v>814.22222222222217</v>
      </c>
      <c r="F11" s="593">
        <f>'11 Kostnader Bygg'!$I$62</f>
        <v>533.6</v>
      </c>
      <c r="G11" s="593">
        <f>'11 Kostnader Bygg'!$I$63</f>
        <v>506.34444444444443</v>
      </c>
      <c r="H11" s="593">
        <f>'11 Kostnader Bygg'!$I$64</f>
        <v>507.61666666666667</v>
      </c>
      <c r="I11" s="593">
        <f>'11 Kostnader Bygg'!$I$65</f>
        <v>506.34444444444443</v>
      </c>
      <c r="J11" s="593">
        <f>'11 Kostnader Bygg'!$I$66</f>
        <v>506.34444444444443</v>
      </c>
      <c r="K11" s="593">
        <f>'11 Kostnader Bygg'!$I$67</f>
        <v>507.61666666666667</v>
      </c>
      <c r="L11" s="593">
        <f>'11 Kostnader Bygg'!$I$68</f>
        <v>354.66666666666669</v>
      </c>
      <c r="M11" s="593">
        <f>'11 Kostnader Bygg'!$I$69</f>
        <v>847.96875</v>
      </c>
      <c r="N11" s="593">
        <f>'11 Kostnader Bygg'!$I$70</f>
        <v>506.34444444444443</v>
      </c>
      <c r="O11" s="593">
        <f>'11 Kostnader Bygg'!$I$71</f>
        <v>507.61666666666667</v>
      </c>
    </row>
    <row r="12" spans="1:17" x14ac:dyDescent="0.25">
      <c r="B12" s="592" t="s">
        <v>1015</v>
      </c>
      <c r="C12" s="592" t="s">
        <v>143</v>
      </c>
      <c r="D12" s="593">
        <f>'11 Kostnader Bygg'!$J$60</f>
        <v>1540</v>
      </c>
      <c r="E12" s="593">
        <f>'11 Kostnader Bygg'!$J$61</f>
        <v>1089.0222222222221</v>
      </c>
      <c r="F12" s="593">
        <f>'11 Kostnader Bygg'!$J$62</f>
        <v>571.29999999999995</v>
      </c>
      <c r="G12" s="593">
        <f>'11 Kostnader Bygg'!$J$63</f>
        <v>603.63333333333333</v>
      </c>
      <c r="H12" s="593">
        <f>'11 Kostnader Bygg'!$J$64</f>
        <v>605.15</v>
      </c>
      <c r="I12" s="593">
        <f>'11 Kostnader Bygg'!$J$65</f>
        <v>603.63333333333333</v>
      </c>
      <c r="J12" s="593">
        <f>'11 Kostnader Bygg'!$J$66</f>
        <v>603.63333333333333</v>
      </c>
      <c r="K12" s="593">
        <f>'11 Kostnader Bygg'!$J$67</f>
        <v>203.93333333333334</v>
      </c>
      <c r="L12" s="593">
        <f>'11 Kostnader Bygg'!$J$68</f>
        <v>474.36666666666667</v>
      </c>
      <c r="M12" s="593">
        <f>'11 Kostnader Bygg'!$J$69</f>
        <v>1155.75</v>
      </c>
      <c r="N12" s="593">
        <f>'11 Kostnader Bygg'!$J$70</f>
        <v>603.63333333333333</v>
      </c>
      <c r="O12" s="593">
        <f>'11 Kostnader Bygg'!$J$71</f>
        <v>605.15</v>
      </c>
    </row>
    <row r="13" spans="1:17" x14ac:dyDescent="0.25">
      <c r="B13" s="592"/>
      <c r="C13" s="592" t="s">
        <v>4</v>
      </c>
      <c r="D13" s="593">
        <f>'11 Kostnader Bygg'!$K$60</f>
        <v>1940</v>
      </c>
      <c r="E13" s="593">
        <f>'11 Kostnader Bygg'!$K$61</f>
        <v>1139.911111111111</v>
      </c>
      <c r="F13" s="593">
        <f>'11 Kostnader Bygg'!$K$62</f>
        <v>727.9</v>
      </c>
      <c r="G13" s="593">
        <f>'11 Kostnader Bygg'!$K$63</f>
        <v>639.01111111111106</v>
      </c>
      <c r="H13" s="593">
        <f>'11 Kostnader Bygg'!$K$64</f>
        <v>640.61666666666667</v>
      </c>
      <c r="I13" s="593">
        <f>'11 Kostnader Bygg'!$K$65</f>
        <v>639.01111111111106</v>
      </c>
      <c r="J13" s="593">
        <f>'11 Kostnader Bygg'!$K$66</f>
        <v>639.01111111111106</v>
      </c>
      <c r="K13" s="593">
        <f>'11 Kostnader Bygg'!$K$67</f>
        <v>278.19166666666666</v>
      </c>
      <c r="L13" s="593">
        <f>'11 Kostnader Bygg'!$K$68</f>
        <v>496.53333333333336</v>
      </c>
      <c r="M13" s="593">
        <f>'11 Kostnader Bygg'!$K$69</f>
        <v>1224.84375</v>
      </c>
      <c r="N13" s="593">
        <f>'11 Kostnader Bygg'!$K$70</f>
        <v>639.01111111111106</v>
      </c>
      <c r="O13" s="593">
        <f>'11 Kostnader Bygg'!$K$71</f>
        <v>640.61666666666667</v>
      </c>
    </row>
    <row r="14" spans="1:17" x14ac:dyDescent="0.25">
      <c r="B14" t="s">
        <v>678</v>
      </c>
      <c r="C14" t="s">
        <v>3</v>
      </c>
      <c r="D14">
        <v>0</v>
      </c>
      <c r="E14">
        <v>0</v>
      </c>
      <c r="F14">
        <v>0</v>
      </c>
      <c r="G14">
        <v>0</v>
      </c>
      <c r="H14">
        <v>0</v>
      </c>
      <c r="I14">
        <v>0</v>
      </c>
      <c r="J14">
        <v>0</v>
      </c>
      <c r="K14">
        <v>0</v>
      </c>
      <c r="L14">
        <v>0</v>
      </c>
      <c r="M14">
        <v>0</v>
      </c>
      <c r="N14">
        <v>0</v>
      </c>
      <c r="O14">
        <v>0</v>
      </c>
    </row>
    <row r="15" spans="1:17" x14ac:dyDescent="0.25">
      <c r="C15" t="s">
        <v>143</v>
      </c>
      <c r="D15">
        <v>0</v>
      </c>
      <c r="E15">
        <v>0</v>
      </c>
      <c r="F15">
        <v>0</v>
      </c>
      <c r="G15">
        <v>0</v>
      </c>
      <c r="H15">
        <v>0</v>
      </c>
      <c r="I15">
        <v>0</v>
      </c>
      <c r="J15">
        <v>0</v>
      </c>
      <c r="K15">
        <v>0</v>
      </c>
      <c r="L15">
        <v>0</v>
      </c>
      <c r="M15">
        <v>0</v>
      </c>
      <c r="N15">
        <v>0</v>
      </c>
      <c r="O15">
        <v>0</v>
      </c>
    </row>
    <row r="16" spans="1:17" x14ac:dyDescent="0.25">
      <c r="C16" t="s">
        <v>4</v>
      </c>
      <c r="D16">
        <v>0</v>
      </c>
      <c r="E16">
        <v>0</v>
      </c>
      <c r="F16">
        <v>0</v>
      </c>
      <c r="G16">
        <v>0</v>
      </c>
      <c r="H16">
        <v>0</v>
      </c>
      <c r="I16">
        <v>0</v>
      </c>
      <c r="J16">
        <v>0</v>
      </c>
      <c r="K16">
        <v>0</v>
      </c>
      <c r="L16">
        <v>0</v>
      </c>
      <c r="M16">
        <v>0</v>
      </c>
      <c r="N16">
        <v>0</v>
      </c>
      <c r="O16">
        <v>0</v>
      </c>
    </row>
    <row r="17" spans="2:15" x14ac:dyDescent="0.25">
      <c r="B17" t="s">
        <v>679</v>
      </c>
      <c r="C17" t="s">
        <v>3</v>
      </c>
      <c r="D17">
        <f>'15 Levetider og rente'!$E$5</f>
        <v>60</v>
      </c>
      <c r="E17">
        <f>'15 Levetider og rente'!$E$5</f>
        <v>60</v>
      </c>
      <c r="F17">
        <f>'15 Levetider og rente'!$E$5</f>
        <v>60</v>
      </c>
      <c r="G17">
        <f>'15 Levetider og rente'!$E$5</f>
        <v>60</v>
      </c>
      <c r="H17">
        <f>'15 Levetider og rente'!$E$5</f>
        <v>60</v>
      </c>
      <c r="I17">
        <f>'15 Levetider og rente'!$E$5</f>
        <v>60</v>
      </c>
      <c r="J17">
        <f>'15 Levetider og rente'!$E$5</f>
        <v>60</v>
      </c>
      <c r="K17">
        <f>'15 Levetider og rente'!$E$5</f>
        <v>60</v>
      </c>
      <c r="L17">
        <f>'15 Levetider og rente'!$E$5</f>
        <v>60</v>
      </c>
      <c r="M17">
        <f>'15 Levetider og rente'!$E$5</f>
        <v>60</v>
      </c>
      <c r="N17">
        <f>'15 Levetider og rente'!$E$5</f>
        <v>60</v>
      </c>
      <c r="O17">
        <f>'15 Levetider og rente'!$E$5</f>
        <v>60</v>
      </c>
    </row>
    <row r="18" spans="2:15" x14ac:dyDescent="0.25">
      <c r="C18" t="s">
        <v>143</v>
      </c>
      <c r="D18">
        <f>'15 Levetider og rente'!$F$5</f>
        <v>60</v>
      </c>
      <c r="E18">
        <f>'15 Levetider og rente'!$F$5</f>
        <v>60</v>
      </c>
      <c r="F18">
        <f>'15 Levetider og rente'!$F$5</f>
        <v>60</v>
      </c>
      <c r="G18">
        <f>'15 Levetider og rente'!$F$5</f>
        <v>60</v>
      </c>
      <c r="H18">
        <f>'15 Levetider og rente'!$F$5</f>
        <v>60</v>
      </c>
      <c r="I18">
        <f>'15 Levetider og rente'!$F$5</f>
        <v>60</v>
      </c>
      <c r="J18">
        <f>'15 Levetider og rente'!$F$5</f>
        <v>60</v>
      </c>
      <c r="K18">
        <f>'15 Levetider og rente'!$F$5</f>
        <v>60</v>
      </c>
      <c r="L18">
        <f>'15 Levetider og rente'!$F$5</f>
        <v>60</v>
      </c>
      <c r="M18">
        <f>'15 Levetider og rente'!$F$5</f>
        <v>60</v>
      </c>
      <c r="N18">
        <f>'15 Levetider og rente'!$F$5</f>
        <v>60</v>
      </c>
      <c r="O18">
        <f>'15 Levetider og rente'!$F$5</f>
        <v>60</v>
      </c>
    </row>
    <row r="19" spans="2:15" x14ac:dyDescent="0.25">
      <c r="C19" t="s">
        <v>4</v>
      </c>
      <c r="D19">
        <f>'15 Levetider og rente'!$G$5</f>
        <v>60</v>
      </c>
      <c r="E19">
        <f>'15 Levetider og rente'!$G$5</f>
        <v>60</v>
      </c>
      <c r="F19">
        <f>'15 Levetider og rente'!$G$5</f>
        <v>60</v>
      </c>
      <c r="G19">
        <f>'15 Levetider og rente'!$G$5</f>
        <v>60</v>
      </c>
      <c r="H19">
        <f>'15 Levetider og rente'!$G$5</f>
        <v>60</v>
      </c>
      <c r="I19">
        <f>'15 Levetider og rente'!$G$5</f>
        <v>60</v>
      </c>
      <c r="J19">
        <f>'15 Levetider og rente'!$G$5</f>
        <v>60</v>
      </c>
      <c r="K19">
        <f>'15 Levetider og rente'!$G$5</f>
        <v>60</v>
      </c>
      <c r="L19">
        <f>'15 Levetider og rente'!$G$5</f>
        <v>60</v>
      </c>
      <c r="M19">
        <f>'15 Levetider og rente'!$G$5</f>
        <v>60</v>
      </c>
      <c r="N19">
        <f>'15 Levetider og rente'!$G$5</f>
        <v>60</v>
      </c>
      <c r="O19">
        <f>'15 Levetider og rente'!$G$5</f>
        <v>60</v>
      </c>
    </row>
    <row r="20" spans="2:15" x14ac:dyDescent="0.25">
      <c r="B20" t="s">
        <v>680</v>
      </c>
      <c r="C20" t="s">
        <v>3</v>
      </c>
      <c r="D20" s="485">
        <f>'15 Levetider og rente'!$B$5</f>
        <v>0.06</v>
      </c>
      <c r="E20" s="485">
        <f>'15 Levetider og rente'!$B$5</f>
        <v>0.06</v>
      </c>
      <c r="F20" s="485">
        <f>'15 Levetider og rente'!$B$5</f>
        <v>0.06</v>
      </c>
      <c r="G20" s="485">
        <f>'15 Levetider og rente'!$B$5</f>
        <v>0.06</v>
      </c>
      <c r="H20" s="485">
        <f>'15 Levetider og rente'!$B$5</f>
        <v>0.06</v>
      </c>
      <c r="I20" s="485">
        <f>'15 Levetider og rente'!$B$5</f>
        <v>0.06</v>
      </c>
      <c r="J20" s="485">
        <f>'15 Levetider og rente'!$B$5</f>
        <v>0.06</v>
      </c>
      <c r="K20" s="485">
        <f>'15 Levetider og rente'!$B$5</f>
        <v>0.06</v>
      </c>
      <c r="L20" s="485">
        <f>'15 Levetider og rente'!$B$5</f>
        <v>0.06</v>
      </c>
      <c r="M20" s="485">
        <f>'15 Levetider og rente'!$B$5</f>
        <v>0.06</v>
      </c>
      <c r="N20" s="485">
        <f>'15 Levetider og rente'!$B$5</f>
        <v>0.06</v>
      </c>
      <c r="O20" s="485">
        <f>'15 Levetider og rente'!$B$5</f>
        <v>0.06</v>
      </c>
    </row>
    <row r="21" spans="2:15" x14ac:dyDescent="0.25">
      <c r="C21" t="s">
        <v>143</v>
      </c>
      <c r="D21" s="485">
        <f>'15 Levetider og rente'!$C$5</f>
        <v>0.06</v>
      </c>
      <c r="E21" s="485">
        <f>'15 Levetider og rente'!$C$5</f>
        <v>0.06</v>
      </c>
      <c r="F21" s="485">
        <f>'15 Levetider og rente'!$C$5</f>
        <v>0.06</v>
      </c>
      <c r="G21" s="485">
        <f>'15 Levetider og rente'!$C$5</f>
        <v>0.06</v>
      </c>
      <c r="H21" s="485">
        <f>'15 Levetider og rente'!$C$5</f>
        <v>0.06</v>
      </c>
      <c r="I21" s="485">
        <f>'15 Levetider og rente'!$C$5</f>
        <v>0.06</v>
      </c>
      <c r="J21" s="485">
        <f>'15 Levetider og rente'!$C$5</f>
        <v>0.06</v>
      </c>
      <c r="K21" s="485">
        <f>'15 Levetider og rente'!$C$5</f>
        <v>0.06</v>
      </c>
      <c r="L21" s="485">
        <f>'15 Levetider og rente'!$C$5</f>
        <v>0.06</v>
      </c>
      <c r="M21" s="485">
        <f>'15 Levetider og rente'!$C$5</f>
        <v>0.06</v>
      </c>
      <c r="N21" s="485">
        <f>'15 Levetider og rente'!$C$5</f>
        <v>0.06</v>
      </c>
      <c r="O21" s="485">
        <f>'15 Levetider og rente'!$C$5</f>
        <v>0.06</v>
      </c>
    </row>
    <row r="22" spans="2:15" x14ac:dyDescent="0.25">
      <c r="C22" t="s">
        <v>4</v>
      </c>
      <c r="D22" s="485">
        <f>'15 Levetider og rente'!$D$5</f>
        <v>0.06</v>
      </c>
      <c r="E22" s="485">
        <f>'15 Levetider og rente'!$D$5</f>
        <v>0.06</v>
      </c>
      <c r="F22" s="485">
        <f>'15 Levetider og rente'!$D$5</f>
        <v>0.06</v>
      </c>
      <c r="G22" s="485">
        <f>'15 Levetider og rente'!$D$5</f>
        <v>0.06</v>
      </c>
      <c r="H22" s="485">
        <f>'15 Levetider og rente'!$D$5</f>
        <v>0.06</v>
      </c>
      <c r="I22" s="485">
        <f>'15 Levetider og rente'!$D$5</f>
        <v>0.06</v>
      </c>
      <c r="J22" s="485">
        <f>'15 Levetider og rente'!$D$5</f>
        <v>0.06</v>
      </c>
      <c r="K22" s="485">
        <f>'15 Levetider og rente'!$D$5</f>
        <v>0.06</v>
      </c>
      <c r="L22" s="485">
        <f>'15 Levetider og rente'!$D$5</f>
        <v>0.06</v>
      </c>
      <c r="M22" s="485">
        <f>'15 Levetider og rente'!$D$5</f>
        <v>0.06</v>
      </c>
      <c r="N22" s="485">
        <f>'15 Levetider og rente'!$D$5</f>
        <v>0.06</v>
      </c>
      <c r="O22" s="485">
        <f>'15 Levetider og rente'!$D$5</f>
        <v>0.06</v>
      </c>
    </row>
    <row r="23" spans="2:15" x14ac:dyDescent="0.25">
      <c r="B23" t="s">
        <v>753</v>
      </c>
      <c r="C23" t="s">
        <v>3</v>
      </c>
      <c r="D23" s="617">
        <f>(D10-PV(D20,D19,D16))/-PV(D20,D19,D7)</f>
        <v>1.628439002708274</v>
      </c>
      <c r="E23" s="617">
        <f t="shared" ref="E23:O23" si="0">(E10-PV(E20,E19,E16))/-PV(E20,E19,E7)</f>
        <v>1.1108503065227422</v>
      </c>
      <c r="F23" s="617">
        <f t="shared" si="0"/>
        <v>1.0689325406870867</v>
      </c>
      <c r="G23" s="617">
        <f t="shared" si="0"/>
        <v>1.1616426106512441</v>
      </c>
      <c r="H23" s="617">
        <f t="shared" si="0"/>
        <v>1.2226760035361774</v>
      </c>
      <c r="I23" s="617">
        <f t="shared" si="0"/>
        <v>1.1394102161890194</v>
      </c>
      <c r="J23" s="617">
        <f t="shared" si="0"/>
        <v>1.0857297956694767</v>
      </c>
      <c r="K23" s="617">
        <f t="shared" si="0"/>
        <v>0.76751043123894558</v>
      </c>
      <c r="L23" s="617">
        <f t="shared" si="0"/>
        <v>0.94156184103372942</v>
      </c>
      <c r="M23" s="617">
        <f t="shared" si="0"/>
        <v>1.325221045161189</v>
      </c>
      <c r="N23" s="617">
        <f t="shared" si="0"/>
        <v>1.1007861410639681</v>
      </c>
      <c r="O23" s="617">
        <f t="shared" si="0"/>
        <v>1.1178217061425695</v>
      </c>
    </row>
    <row r="24" spans="2:15" x14ac:dyDescent="0.25">
      <c r="B24" t="s">
        <v>999</v>
      </c>
      <c r="C24" t="s">
        <v>143</v>
      </c>
      <c r="D24" s="617">
        <f>(D9-PV(D21,D18,D15))/-PV(D21,D18,D6)</f>
        <v>3.9848591402888078</v>
      </c>
      <c r="E24" s="617">
        <f>(E9-PV(E21,E18,E15))/-PV(E21,E18,E6)</f>
        <v>2.5249295120553055</v>
      </c>
      <c r="F24" s="617">
        <f t="shared" ref="F24:O24" si="1">(F9-PV(F21,F18,F15))/-PV(F21,F18,F6)</f>
        <v>2.4489087633425095</v>
      </c>
      <c r="G24" s="617">
        <f t="shared" si="1"/>
        <v>1.9782429777162109</v>
      </c>
      <c r="H24" s="617">
        <f>(H9-PV(H21,H18,H15))/-PV(H21,H18,H6)</f>
        <v>1.936270059346916</v>
      </c>
      <c r="I24" s="617">
        <f t="shared" si="1"/>
        <v>1.8910476949518602</v>
      </c>
      <c r="J24" s="617">
        <f>(J9-PV(J21,J18,J15))/-PV(J21,J18,J6)</f>
        <v>1.7422596783439694</v>
      </c>
      <c r="K24" s="617">
        <f t="shared" si="1"/>
        <v>1.4604326506908307</v>
      </c>
      <c r="L24" s="617">
        <f t="shared" si="1"/>
        <v>1.4301085330477894</v>
      </c>
      <c r="M24" s="617">
        <f t="shared" si="1"/>
        <v>2.1357590913092928</v>
      </c>
      <c r="N24" s="617">
        <f t="shared" si="1"/>
        <v>1.7829878266688974</v>
      </c>
      <c r="O24" s="617">
        <f t="shared" si="1"/>
        <v>1.7745057252748946</v>
      </c>
    </row>
    <row r="25" spans="2:15" x14ac:dyDescent="0.25">
      <c r="B25" t="s">
        <v>1013</v>
      </c>
      <c r="C25" t="s">
        <v>4</v>
      </c>
      <c r="D25" s="617">
        <f>(D8-PV(D22,D17,D14))/-PV(D22,D17,D5)</f>
        <v>7.0039145953039093</v>
      </c>
      <c r="E25" s="617">
        <f t="shared" ref="E25:O25" si="2">(E8-PV(E22,E17,E14))/-PV(E22,E17,E5)</f>
        <v>5.192744167050499</v>
      </c>
      <c r="F25" s="617">
        <f>(F8-PV(F22,F17,F14))/-PV(F22,F17,F5)</f>
        <v>4.1589376296635949</v>
      </c>
      <c r="G25" s="617">
        <f t="shared" si="2"/>
        <v>4.1465749914704846</v>
      </c>
      <c r="H25" s="617">
        <f t="shared" si="2"/>
        <v>2.9792680253487807</v>
      </c>
      <c r="I25" s="617">
        <f t="shared" si="2"/>
        <v>3.8324405224196902</v>
      </c>
      <c r="J25" s="617">
        <f t="shared" si="2"/>
        <v>3.1035714660085905</v>
      </c>
      <c r="K25" s="617">
        <f t="shared" si="2"/>
        <v>4.1325330674192626</v>
      </c>
      <c r="L25" s="617">
        <f t="shared" si="2"/>
        <v>1.9578264011300617</v>
      </c>
      <c r="M25" s="617">
        <f t="shared" si="2"/>
        <v>3.1821355535984659</v>
      </c>
      <c r="N25" s="617">
        <f t="shared" si="2"/>
        <v>3.30641927424444</v>
      </c>
      <c r="O25" s="617">
        <f t="shared" si="2"/>
        <v>2.6414128884535559</v>
      </c>
    </row>
    <row r="26" spans="2:15" x14ac:dyDescent="0.25">
      <c r="B26" s="592" t="s">
        <v>753</v>
      </c>
      <c r="C26" s="592" t="s">
        <v>3</v>
      </c>
      <c r="D26" s="625">
        <f>(D13-PV(D20,D19,D16))/-PV(D20,D19,D7)</f>
        <v>0.78559489360083345</v>
      </c>
      <c r="E26" s="625">
        <f>(E13-PV(E20,E19,E16))/-PV(E20,E19,E7)</f>
        <v>0.5917183092683822</v>
      </c>
      <c r="F26" s="625">
        <f t="shared" ref="F26:O26" si="3">(F13-PV(F20,F19,F16))/-PV(F20,F19,F7)</f>
        <v>0.52863072408373679</v>
      </c>
      <c r="G26" s="625">
        <f>(G13-PV(G20,G19,G16))/-PV(G20,G19,G7)</f>
        <v>0.6429150171890301</v>
      </c>
      <c r="H26" s="625">
        <f t="shared" si="3"/>
        <v>0.66396345838459547</v>
      </c>
      <c r="I26" s="625">
        <f t="shared" si="3"/>
        <v>0.63061042355861807</v>
      </c>
      <c r="J26" s="625">
        <f t="shared" si="3"/>
        <v>0.60090081393807571</v>
      </c>
      <c r="K26" s="625">
        <f t="shared" si="3"/>
        <v>0.40597429469117857</v>
      </c>
      <c r="L26" s="625">
        <f t="shared" si="3"/>
        <v>0.4868994969420492</v>
      </c>
      <c r="M26" s="625">
        <f t="shared" si="3"/>
        <v>0.72524488781196317</v>
      </c>
      <c r="N26" s="625">
        <f t="shared" si="3"/>
        <v>0.60923379903120745</v>
      </c>
      <c r="O26" s="625">
        <f t="shared" si="3"/>
        <v>0.60702325368392562</v>
      </c>
    </row>
    <row r="27" spans="2:15" x14ac:dyDescent="0.25">
      <c r="B27" s="592" t="s">
        <v>1018</v>
      </c>
      <c r="C27" s="592" t="s">
        <v>143</v>
      </c>
      <c r="D27" s="626">
        <f>(D12-PV(D21,D18,D15))/-PV(D21,D18,D6)</f>
        <v>1.742022141418037</v>
      </c>
      <c r="E27" s="626">
        <f t="shared" ref="E27:O27" si="4">(E12-PV(E21,E18,E15))/-PV(E21,E18,E6)</f>
        <v>1.3264573966065545</v>
      </c>
      <c r="F27" s="626">
        <f t="shared" si="4"/>
        <v>1.1403096678204687</v>
      </c>
      <c r="G27" s="626">
        <f t="shared" si="4"/>
        <v>1.0763760239617099</v>
      </c>
      <c r="H27" s="626">
        <f t="shared" si="4"/>
        <v>1.034367206513026</v>
      </c>
      <c r="I27" s="626">
        <f t="shared" si="4"/>
        <v>1.0289324526576127</v>
      </c>
      <c r="J27" s="626">
        <f t="shared" si="4"/>
        <v>0.947975838362215</v>
      </c>
      <c r="K27" s="626">
        <f t="shared" si="4"/>
        <v>0.67841516888632625</v>
      </c>
      <c r="L27" s="626">
        <f t="shared" si="4"/>
        <v>0.73014377520958496</v>
      </c>
      <c r="M27" s="626">
        <f t="shared" si="4"/>
        <v>1.1442058422849992</v>
      </c>
      <c r="N27" s="626">
        <f t="shared" si="4"/>
        <v>0.9701363125057495</v>
      </c>
      <c r="O27" s="626">
        <f t="shared" si="4"/>
        <v>0.94795171837396297</v>
      </c>
    </row>
    <row r="28" spans="2:15" x14ac:dyDescent="0.25">
      <c r="B28" s="592" t="s">
        <v>1015</v>
      </c>
      <c r="C28" s="592" t="s">
        <v>4</v>
      </c>
      <c r="D28" s="626">
        <f>(D11-PV(D22,D17,D14))/-PV(D22,D17,D5)</f>
        <v>2.9776371105258872</v>
      </c>
      <c r="E28" s="626">
        <f t="shared" ref="E28:O28" si="5">(E11-PV(E22,E17,E14))/-PV(E22,E17,E5)</f>
        <v>2.846360874285355</v>
      </c>
      <c r="F28" s="626">
        <f t="shared" si="5"/>
        <v>1.8445187151541158</v>
      </c>
      <c r="G28" s="626">
        <f t="shared" si="5"/>
        <v>2.5680678554035152</v>
      </c>
      <c r="H28" s="626">
        <f t="shared" si="5"/>
        <v>1.8261132269681588</v>
      </c>
      <c r="I28" s="626">
        <f t="shared" si="5"/>
        <v>2.3735172602971883</v>
      </c>
      <c r="J28" s="626">
        <f t="shared" si="5"/>
        <v>1.9221121371731873</v>
      </c>
      <c r="K28" s="626">
        <f t="shared" si="5"/>
        <v>2.5329957664396958</v>
      </c>
      <c r="L28" s="626">
        <f t="shared" si="5"/>
        <v>1.045012185613718</v>
      </c>
      <c r="M28" s="626">
        <f t="shared" si="5"/>
        <v>1.6870957630154622</v>
      </c>
      <c r="N28" s="626">
        <f t="shared" si="5"/>
        <v>2.047740381432869</v>
      </c>
      <c r="O28" s="626">
        <f t="shared" si="5"/>
        <v>1.6190282218480572</v>
      </c>
    </row>
    <row r="29" spans="2:15" x14ac:dyDescent="0.25">
      <c r="B29" t="s">
        <v>753</v>
      </c>
      <c r="C29" t="s">
        <v>3</v>
      </c>
      <c r="D29" s="617">
        <f>D26</f>
        <v>0.78559489360083345</v>
      </c>
      <c r="E29" s="617">
        <f>E26</f>
        <v>0.5917183092683822</v>
      </c>
      <c r="F29" s="617">
        <f>F26</f>
        <v>0.52863072408373679</v>
      </c>
      <c r="G29" s="617">
        <f t="shared" ref="G29:O29" si="6">G26</f>
        <v>0.6429150171890301</v>
      </c>
      <c r="H29" s="617">
        <f t="shared" si="6"/>
        <v>0.66396345838459547</v>
      </c>
      <c r="I29" s="617">
        <f t="shared" si="6"/>
        <v>0.63061042355861807</v>
      </c>
      <c r="J29" s="617">
        <f t="shared" si="6"/>
        <v>0.60090081393807571</v>
      </c>
      <c r="K29" s="617">
        <f t="shared" si="6"/>
        <v>0.40597429469117857</v>
      </c>
      <c r="L29" s="617">
        <f t="shared" si="6"/>
        <v>0.4868994969420492</v>
      </c>
      <c r="M29" s="617">
        <f t="shared" si="6"/>
        <v>0.72524488781196317</v>
      </c>
      <c r="N29" s="617">
        <f t="shared" si="6"/>
        <v>0.60923379903120745</v>
      </c>
      <c r="O29" s="617">
        <f t="shared" si="6"/>
        <v>0.60702325368392562</v>
      </c>
    </row>
    <row r="30" spans="2:15" x14ac:dyDescent="0.25">
      <c r="B30" s="404" t="s">
        <v>1021</v>
      </c>
      <c r="C30" t="s">
        <v>143</v>
      </c>
      <c r="D30" s="617">
        <f>D24</f>
        <v>3.9848591402888078</v>
      </c>
      <c r="E30" s="617">
        <f t="shared" ref="E30:O30" si="7">E24</f>
        <v>2.5249295120553055</v>
      </c>
      <c r="F30" s="617">
        <f t="shared" si="7"/>
        <v>2.4489087633425095</v>
      </c>
      <c r="G30" s="617">
        <f t="shared" si="7"/>
        <v>1.9782429777162109</v>
      </c>
      <c r="H30" s="617">
        <f t="shared" si="7"/>
        <v>1.936270059346916</v>
      </c>
      <c r="I30" s="617">
        <f t="shared" si="7"/>
        <v>1.8910476949518602</v>
      </c>
      <c r="J30" s="617">
        <f t="shared" si="7"/>
        <v>1.7422596783439694</v>
      </c>
      <c r="K30" s="617">
        <f t="shared" si="7"/>
        <v>1.4604326506908307</v>
      </c>
      <c r="L30" s="617">
        <f t="shared" si="7"/>
        <v>1.4301085330477894</v>
      </c>
      <c r="M30" s="617">
        <f t="shared" si="7"/>
        <v>2.1357590913092928</v>
      </c>
      <c r="N30" s="617">
        <f t="shared" si="7"/>
        <v>1.7829878266688974</v>
      </c>
      <c r="O30" s="617">
        <f t="shared" si="7"/>
        <v>1.7745057252748946</v>
      </c>
    </row>
    <row r="31" spans="2:15" x14ac:dyDescent="0.25">
      <c r="C31" t="s">
        <v>4</v>
      </c>
      <c r="D31" s="617">
        <f>D25</f>
        <v>7.0039145953039093</v>
      </c>
      <c r="E31" s="617">
        <f t="shared" ref="E31:O31" si="8">E25</f>
        <v>5.192744167050499</v>
      </c>
      <c r="F31" s="617">
        <f t="shared" si="8"/>
        <v>4.1589376296635949</v>
      </c>
      <c r="G31" s="617">
        <f t="shared" si="8"/>
        <v>4.1465749914704846</v>
      </c>
      <c r="H31" s="617">
        <f t="shared" si="8"/>
        <v>2.9792680253487807</v>
      </c>
      <c r="I31" s="617">
        <f t="shared" si="8"/>
        <v>3.8324405224196902</v>
      </c>
      <c r="J31" s="617">
        <f t="shared" si="8"/>
        <v>3.1035714660085905</v>
      </c>
      <c r="K31" s="617">
        <f t="shared" si="8"/>
        <v>4.1325330674192626</v>
      </c>
      <c r="L31" s="617">
        <f t="shared" si="8"/>
        <v>1.9578264011300617</v>
      </c>
      <c r="M31" s="617">
        <f t="shared" si="8"/>
        <v>3.1821355535984659</v>
      </c>
      <c r="N31" s="617">
        <f t="shared" si="8"/>
        <v>3.30641927424444</v>
      </c>
      <c r="O31" s="617">
        <f t="shared" si="8"/>
        <v>2.6414128884535559</v>
      </c>
    </row>
    <row r="33" spans="1:15" x14ac:dyDescent="0.25">
      <c r="A33" t="s">
        <v>1019</v>
      </c>
      <c r="B33" t="s">
        <v>676</v>
      </c>
      <c r="C33" t="s">
        <v>3</v>
      </c>
      <c r="D33" s="62">
        <f>'8 Lav energibesparelse'!D67</f>
        <v>5.7999999999999829</v>
      </c>
      <c r="E33" s="62">
        <f>'8 Lav energibesparelse'!F67</f>
        <v>3.5</v>
      </c>
      <c r="F33" s="62">
        <f>'8 Lav energibesparelse'!H67</f>
        <v>9.5</v>
      </c>
      <c r="G33" s="62">
        <f>'8 Lav energibesparelse'!J67</f>
        <v>2</v>
      </c>
      <c r="H33" s="62">
        <f>'8 Lav energibesparelse'!L67</f>
        <v>3.3000000000000114</v>
      </c>
      <c r="I33" s="62">
        <f>'8 Lav energibesparelse'!N67</f>
        <v>2.1999999999999886</v>
      </c>
      <c r="J33" s="62">
        <f>'8 Lav energibesparelse'!P67</f>
        <v>2.7999999999999545</v>
      </c>
      <c r="K33" s="62">
        <f>'8 Lav energibesparelse'!R67</f>
        <v>3.8000000000000114</v>
      </c>
      <c r="L33" s="62">
        <f>'8 Lav energibesparelse'!T67</f>
        <v>5.6000000000000227</v>
      </c>
      <c r="M33" s="62">
        <f>'8 Lav energibesparelse'!V67</f>
        <v>9.5999999999999943</v>
      </c>
      <c r="N33" s="62">
        <f>'8 Lav energibesparelse'!X67</f>
        <v>2.5999999999999943</v>
      </c>
      <c r="O33" s="62">
        <f>'8 Lav energibesparelse'!Z67</f>
        <v>3.8000000000000114</v>
      </c>
    </row>
    <row r="34" spans="1:15" x14ac:dyDescent="0.25">
      <c r="C34" t="s">
        <v>143</v>
      </c>
      <c r="D34" s="62">
        <f>'9 Median energibesparelse'!D67</f>
        <v>15.700000000000017</v>
      </c>
      <c r="E34" s="62">
        <f>'9 Median energibesparelse'!F67</f>
        <v>10.200000000000017</v>
      </c>
      <c r="F34" s="62">
        <f>'9 Median energibesparelse'!H67</f>
        <v>25</v>
      </c>
      <c r="G34" s="62">
        <f>'9 Median energibesparelse'!J67</f>
        <v>9.6000000000000227</v>
      </c>
      <c r="H34" s="62">
        <f>'9 Median energibesparelse'!L67</f>
        <v>14.099999999999994</v>
      </c>
      <c r="I34" s="62">
        <f>'9 Median energibesparelse'!N67</f>
        <v>9.9000000000000341</v>
      </c>
      <c r="J34" s="62">
        <f>'9 Median energibesparelse'!P67</f>
        <v>10.800000000000068</v>
      </c>
      <c r="K34" s="62">
        <f>'9 Median energibesparelse'!R67</f>
        <v>11.5</v>
      </c>
      <c r="L34" s="62">
        <f>'9 Median energibesparelse'!T67</f>
        <v>17.399999999999977</v>
      </c>
      <c r="M34" s="630">
        <f>'9 Median energibesparelse'!V67</f>
        <v>56</v>
      </c>
      <c r="N34" s="62">
        <f>'9 Median energibesparelse'!X67</f>
        <v>10.600000000000023</v>
      </c>
      <c r="O34" s="62">
        <f>'9 Median energibesparelse'!Z67</f>
        <v>15.5</v>
      </c>
    </row>
    <row r="35" spans="1:15" x14ac:dyDescent="0.25">
      <c r="C35" t="s">
        <v>4</v>
      </c>
      <c r="D35" s="62">
        <f>'10 Høy energibesparelse'!D67</f>
        <v>57.399999999999977</v>
      </c>
      <c r="E35" s="62">
        <f>'10 Høy energibesparelse'!F67</f>
        <v>33.599999999999966</v>
      </c>
      <c r="F35" s="62">
        <f>'10 Høy energibesparelse'!H67</f>
        <v>106.70000000000005</v>
      </c>
      <c r="G35" s="62">
        <f>'10 Høy energibesparelse'!J67</f>
        <v>50.800000000000011</v>
      </c>
      <c r="H35" s="62">
        <f>'10 Høy energibesparelse'!L67</f>
        <v>71.5</v>
      </c>
      <c r="I35" s="62">
        <f>'10 Høy energibesparelse'!N67</f>
        <v>51.800000000000011</v>
      </c>
      <c r="J35" s="62">
        <f>'10 Høy energibesparelse'!P67</f>
        <v>54.699999999999932</v>
      </c>
      <c r="K35" s="62">
        <f>'10 Høy energibesparelse'!R67</f>
        <v>58.399999999999977</v>
      </c>
      <c r="L35" s="62">
        <f>'10 Høy energibesparelse'!T67</f>
        <v>77.700000000000045</v>
      </c>
      <c r="M35" s="62">
        <f>'10 Høy energibesparelse'!V67</f>
        <v>120.39999999999998</v>
      </c>
      <c r="N35" s="62">
        <f>'10 Høy energibesparelse'!X67</f>
        <v>54</v>
      </c>
      <c r="O35" s="62">
        <f>'10 Høy energibesparelse'!Z67</f>
        <v>79.100000000000023</v>
      </c>
    </row>
    <row r="36" spans="1:15" x14ac:dyDescent="0.25">
      <c r="B36" t="s">
        <v>677</v>
      </c>
      <c r="C36" t="s">
        <v>3</v>
      </c>
      <c r="D36" s="555">
        <f>'11 Kostnader Bygg'!$L$44</f>
        <v>2064.375</v>
      </c>
      <c r="E36" s="555">
        <f>'11 Kostnader Bygg'!$L$45</f>
        <v>420</v>
      </c>
      <c r="F36" s="555">
        <f>'11 Kostnader Bygg'!$L$46</f>
        <v>1260</v>
      </c>
      <c r="G36" s="555">
        <f>'11 Kostnader Bygg'!$L$47</f>
        <v>366.66666666666669</v>
      </c>
      <c r="H36" s="555">
        <f>'11 Kostnader Bygg'!$L$48</f>
        <v>550</v>
      </c>
      <c r="I36" s="555">
        <f>'11 Kostnader Bygg'!$L$49</f>
        <v>366.66666666666669</v>
      </c>
      <c r="J36" s="555">
        <f>'11 Kostnader Bygg'!$L$50</f>
        <v>366.66666666666669</v>
      </c>
      <c r="K36" s="555">
        <f>'11 Kostnader Bygg'!$L$51</f>
        <v>630</v>
      </c>
      <c r="L36" s="555">
        <f>'11 Kostnader Bygg'!$L$52</f>
        <v>630</v>
      </c>
      <c r="M36" s="555">
        <f>'11 Kostnader Bygg'!$L$53</f>
        <v>1356.666666666667</v>
      </c>
      <c r="N36" s="555">
        <f>'11 Kostnader Bygg'!$L$54</f>
        <v>420</v>
      </c>
      <c r="O36" s="555">
        <f>'11 Kostnader Bygg'!$L$55</f>
        <v>630</v>
      </c>
    </row>
    <row r="37" spans="1:15" x14ac:dyDescent="0.25">
      <c r="B37" t="s">
        <v>1016</v>
      </c>
      <c r="C37" t="s">
        <v>143</v>
      </c>
      <c r="D37" s="555">
        <f>'11 Kostnader Bygg'!$M$44</f>
        <v>2216.25</v>
      </c>
      <c r="E37" s="555">
        <f>'11 Kostnader Bygg'!$M$45</f>
        <v>460</v>
      </c>
      <c r="F37" s="555">
        <f>'11 Kostnader Bygg'!$M$46</f>
        <v>1380</v>
      </c>
      <c r="G37" s="555">
        <f>'11 Kostnader Bygg'!$M$47</f>
        <v>410</v>
      </c>
      <c r="H37" s="555">
        <f>'11 Kostnader Bygg'!$M$48</f>
        <v>615</v>
      </c>
      <c r="I37" s="555">
        <f>'11 Kostnader Bygg'!$M$49</f>
        <v>410</v>
      </c>
      <c r="J37" s="555">
        <f>'11 Kostnader Bygg'!$M$50</f>
        <v>410</v>
      </c>
      <c r="K37" s="555">
        <f>'11 Kostnader Bygg'!$M$51</f>
        <v>690</v>
      </c>
      <c r="L37" s="555">
        <f>'11 Kostnader Bygg'!$M$52</f>
        <v>690</v>
      </c>
      <c r="M37" s="555">
        <f>'11 Kostnader Bygg'!$M$53</f>
        <v>1510</v>
      </c>
      <c r="N37" s="555">
        <f>'11 Kostnader Bygg'!$M$54</f>
        <v>460</v>
      </c>
      <c r="O37" s="555">
        <f>'11 Kostnader Bygg'!$M$55</f>
        <v>690</v>
      </c>
    </row>
    <row r="38" spans="1:15" x14ac:dyDescent="0.25">
      <c r="C38" t="s">
        <v>4</v>
      </c>
      <c r="D38" s="555">
        <f>'11 Kostnader Bygg'!$N$44</f>
        <v>0</v>
      </c>
      <c r="E38" s="555">
        <f>'11 Kostnader Bygg'!$N$45</f>
        <v>0</v>
      </c>
      <c r="F38" s="555">
        <f>'11 Kostnader Bygg'!$N$46</f>
        <v>0</v>
      </c>
      <c r="G38" s="555">
        <f>'11 Kostnader Bygg'!$N$47</f>
        <v>0</v>
      </c>
      <c r="H38" s="555">
        <f>'11 Kostnader Bygg'!$N$48</f>
        <v>0</v>
      </c>
      <c r="I38" s="555">
        <f>'11 Kostnader Bygg'!$N$49</f>
        <v>0</v>
      </c>
      <c r="J38" s="555">
        <f>'11 Kostnader Bygg'!$N$50</f>
        <v>0</v>
      </c>
      <c r="K38" s="555">
        <f>'11 Kostnader Bygg'!$N$51</f>
        <v>0</v>
      </c>
      <c r="L38" s="555">
        <f>'11 Kostnader Bygg'!$N$52</f>
        <v>0</v>
      </c>
      <c r="M38" s="555">
        <f>'11 Kostnader Bygg'!$N$53</f>
        <v>0</v>
      </c>
      <c r="N38" s="555">
        <f>'11 Kostnader Bygg'!$N$54</f>
        <v>0</v>
      </c>
      <c r="O38" s="555">
        <f>'11 Kostnader Bygg'!$N$55</f>
        <v>0</v>
      </c>
    </row>
    <row r="39" spans="1:15" x14ac:dyDescent="0.25">
      <c r="B39" s="592" t="s">
        <v>1014</v>
      </c>
      <c r="C39" s="592" t="s">
        <v>3</v>
      </c>
      <c r="D39" s="593">
        <f>'11 Kostnader Bygg'!$L$60</f>
        <v>309.375</v>
      </c>
      <c r="E39" s="593">
        <f>'11 Kostnader Bygg'!$L$61</f>
        <v>113.33333333333333</v>
      </c>
      <c r="F39" s="593">
        <f>'11 Kostnader Bygg'!$L$62</f>
        <v>340</v>
      </c>
      <c r="G39" s="593">
        <f>'11 Kostnader Bygg'!$L$63</f>
        <v>60</v>
      </c>
      <c r="H39" s="593">
        <f>'11 Kostnader Bygg'!$L$64</f>
        <v>90</v>
      </c>
      <c r="I39" s="593">
        <f>'11 Kostnader Bygg'!$L$65</f>
        <v>60</v>
      </c>
      <c r="J39" s="593">
        <f>'11 Kostnader Bygg'!$L$66</f>
        <v>60</v>
      </c>
      <c r="K39" s="593">
        <f>'11 Kostnader Bygg'!$L$67</f>
        <v>170</v>
      </c>
      <c r="L39" s="593">
        <f>'11 Kostnader Bygg'!$L$68</f>
        <v>170</v>
      </c>
      <c r="M39" s="593">
        <f>'11 Kostnader Bygg'!$L$69</f>
        <v>403.33333333333326</v>
      </c>
      <c r="N39" s="593">
        <f>'11 Kostnader Bygg'!$L$70</f>
        <v>113.33333333333333</v>
      </c>
      <c r="O39" s="593">
        <f>'11 Kostnader Bygg'!$L$71</f>
        <v>170</v>
      </c>
    </row>
    <row r="40" spans="1:15" x14ac:dyDescent="0.25">
      <c r="B40" s="592" t="s">
        <v>1017</v>
      </c>
      <c r="C40" s="592" t="s">
        <v>143</v>
      </c>
      <c r="D40" s="593">
        <f>'11 Kostnader Bygg'!$M$60</f>
        <v>343.125</v>
      </c>
      <c r="E40" s="593">
        <f>'11 Kostnader Bygg'!$M$61</f>
        <v>153.33333333333334</v>
      </c>
      <c r="F40" s="593">
        <f>'11 Kostnader Bygg'!$M$62</f>
        <v>460</v>
      </c>
      <c r="G40" s="593">
        <f>'11 Kostnader Bygg'!$M$63</f>
        <v>103.33333333333333</v>
      </c>
      <c r="H40" s="593">
        <f>'11 Kostnader Bygg'!$M$64</f>
        <v>155</v>
      </c>
      <c r="I40" s="593">
        <f>'11 Kostnader Bygg'!$M$65</f>
        <v>103.33333333333333</v>
      </c>
      <c r="J40" s="593">
        <f>'11 Kostnader Bygg'!$M$66</f>
        <v>103.33333333333333</v>
      </c>
      <c r="K40" s="593">
        <f>'11 Kostnader Bygg'!$M$67</f>
        <v>230</v>
      </c>
      <c r="L40" s="593">
        <f>'11 Kostnader Bygg'!$M$68</f>
        <v>230</v>
      </c>
      <c r="M40" s="593">
        <f>'11 Kostnader Bygg'!$M$69</f>
        <v>543.33333333333337</v>
      </c>
      <c r="N40" s="593">
        <f>'11 Kostnader Bygg'!$M$70</f>
        <v>153.33333333333334</v>
      </c>
      <c r="O40" s="593">
        <f>'11 Kostnader Bygg'!$M$71</f>
        <v>230</v>
      </c>
    </row>
    <row r="41" spans="1:15" x14ac:dyDescent="0.25">
      <c r="B41" s="592"/>
      <c r="C41" s="592" t="s">
        <v>4</v>
      </c>
      <c r="D41" s="593">
        <f>'11 Kostnader Bygg'!$N$60</f>
        <v>708.75</v>
      </c>
      <c r="E41" s="593">
        <f>'11 Kostnader Bygg'!$N$61</f>
        <v>1013.3333333333334</v>
      </c>
      <c r="F41" s="593">
        <f>'11 Kostnader Bygg'!$N$62</f>
        <v>2265</v>
      </c>
      <c r="G41" s="593">
        <f>'11 Kostnader Bygg'!$N$63</f>
        <v>196.66666666666666</v>
      </c>
      <c r="H41" s="593">
        <f>'11 Kostnader Bygg'!$N$64</f>
        <v>295</v>
      </c>
      <c r="I41" s="593">
        <f>'11 Kostnader Bygg'!$N$65</f>
        <v>196.66666666666666</v>
      </c>
      <c r="J41" s="593">
        <f>'11 Kostnader Bygg'!$N$66</f>
        <v>196.66666666666666</v>
      </c>
      <c r="K41" s="593">
        <f>'11 Kostnader Bygg'!$N$67</f>
        <v>1132.5</v>
      </c>
      <c r="L41" s="593">
        <f>'11 Kostnader Bygg'!$N$68</f>
        <v>1210</v>
      </c>
      <c r="M41" s="593">
        <f>'11 Kostnader Bygg'!$N$69</f>
        <v>2658.3333333333339</v>
      </c>
      <c r="N41" s="593">
        <f>'11 Kostnader Bygg'!$N$70</f>
        <v>755</v>
      </c>
      <c r="O41" s="593">
        <f>'11 Kostnader Bygg'!$N$71</f>
        <v>1132.5</v>
      </c>
    </row>
    <row r="42" spans="1:15" x14ac:dyDescent="0.25">
      <c r="B42" t="s">
        <v>678</v>
      </c>
      <c r="C42" t="s">
        <v>3</v>
      </c>
      <c r="D42">
        <v>0</v>
      </c>
      <c r="E42">
        <v>0</v>
      </c>
      <c r="F42">
        <v>0</v>
      </c>
      <c r="G42">
        <v>0</v>
      </c>
      <c r="H42">
        <v>0</v>
      </c>
      <c r="I42">
        <v>0</v>
      </c>
      <c r="J42">
        <v>0</v>
      </c>
      <c r="K42">
        <v>0</v>
      </c>
      <c r="L42">
        <v>0</v>
      </c>
      <c r="M42">
        <v>0</v>
      </c>
      <c r="N42">
        <v>0</v>
      </c>
      <c r="O42">
        <v>0</v>
      </c>
    </row>
    <row r="43" spans="1:15" x14ac:dyDescent="0.25">
      <c r="C43" t="s">
        <v>143</v>
      </c>
      <c r="D43">
        <v>0</v>
      </c>
      <c r="E43">
        <v>0</v>
      </c>
      <c r="F43">
        <v>0</v>
      </c>
      <c r="G43">
        <v>0</v>
      </c>
      <c r="H43">
        <v>0</v>
      </c>
      <c r="I43">
        <v>0</v>
      </c>
      <c r="J43">
        <v>0</v>
      </c>
      <c r="K43">
        <v>0</v>
      </c>
      <c r="L43">
        <v>0</v>
      </c>
      <c r="M43">
        <v>0</v>
      </c>
      <c r="N43">
        <v>0</v>
      </c>
      <c r="O43">
        <v>0</v>
      </c>
    </row>
    <row r="44" spans="1:15" x14ac:dyDescent="0.25">
      <c r="C44" t="s">
        <v>4</v>
      </c>
      <c r="D44">
        <v>0</v>
      </c>
      <c r="E44">
        <v>0</v>
      </c>
      <c r="F44">
        <v>0</v>
      </c>
      <c r="G44">
        <v>0</v>
      </c>
      <c r="H44">
        <v>0</v>
      </c>
      <c r="I44">
        <v>0</v>
      </c>
      <c r="J44">
        <v>0</v>
      </c>
      <c r="K44">
        <v>0</v>
      </c>
      <c r="L44">
        <v>0</v>
      </c>
      <c r="M44">
        <v>0</v>
      </c>
      <c r="N44">
        <v>0</v>
      </c>
      <c r="O44">
        <v>0</v>
      </c>
    </row>
    <row r="45" spans="1:15" x14ac:dyDescent="0.25">
      <c r="B45" t="s">
        <v>679</v>
      </c>
      <c r="C45" t="s">
        <v>3</v>
      </c>
      <c r="D45">
        <f>'15 Levetider og rente'!$E$6</f>
        <v>60</v>
      </c>
      <c r="E45">
        <f>'15 Levetider og rente'!$E$6</f>
        <v>60</v>
      </c>
      <c r="F45">
        <f>'15 Levetider og rente'!$E$6</f>
        <v>60</v>
      </c>
      <c r="G45">
        <f>'15 Levetider og rente'!$E$6</f>
        <v>60</v>
      </c>
      <c r="H45">
        <f>'15 Levetider og rente'!$E$6</f>
        <v>60</v>
      </c>
      <c r="I45">
        <f>'15 Levetider og rente'!$E$6</f>
        <v>60</v>
      </c>
      <c r="J45">
        <f>'15 Levetider og rente'!$E$6</f>
        <v>60</v>
      </c>
      <c r="K45">
        <f>'15 Levetider og rente'!$E$6</f>
        <v>60</v>
      </c>
      <c r="L45">
        <f>'15 Levetider og rente'!$E$6</f>
        <v>60</v>
      </c>
      <c r="M45">
        <f>'15 Levetider og rente'!$E$6</f>
        <v>60</v>
      </c>
      <c r="N45">
        <f>'15 Levetider og rente'!$E$6</f>
        <v>60</v>
      </c>
      <c r="O45">
        <f>'15 Levetider og rente'!$E$6</f>
        <v>60</v>
      </c>
    </row>
    <row r="46" spans="1:15" x14ac:dyDescent="0.25">
      <c r="C46" t="s">
        <v>143</v>
      </c>
      <c r="D46">
        <f>'15 Levetider og rente'!$F$6</f>
        <v>60</v>
      </c>
      <c r="E46">
        <f>'15 Levetider og rente'!$F$6</f>
        <v>60</v>
      </c>
      <c r="F46">
        <f>'15 Levetider og rente'!$F$6</f>
        <v>60</v>
      </c>
      <c r="G46">
        <f>'15 Levetider og rente'!$F$6</f>
        <v>60</v>
      </c>
      <c r="H46">
        <f>'15 Levetider og rente'!$F$6</f>
        <v>60</v>
      </c>
      <c r="I46">
        <f>'15 Levetider og rente'!$F$6</f>
        <v>60</v>
      </c>
      <c r="J46">
        <f>'15 Levetider og rente'!$F$6</f>
        <v>60</v>
      </c>
      <c r="K46">
        <f>'15 Levetider og rente'!$F$6</f>
        <v>60</v>
      </c>
      <c r="L46">
        <f>'15 Levetider og rente'!$F$6</f>
        <v>60</v>
      </c>
      <c r="M46">
        <f>'15 Levetider og rente'!$F$6</f>
        <v>60</v>
      </c>
      <c r="N46">
        <f>'15 Levetider og rente'!$F$6</f>
        <v>60</v>
      </c>
      <c r="O46">
        <f>'15 Levetider og rente'!$F$6</f>
        <v>60</v>
      </c>
    </row>
    <row r="47" spans="1:15" x14ac:dyDescent="0.25">
      <c r="C47" t="s">
        <v>4</v>
      </c>
      <c r="D47">
        <f>'15 Levetider og rente'!$G$6</f>
        <v>60</v>
      </c>
      <c r="E47">
        <f>'15 Levetider og rente'!$G$6</f>
        <v>60</v>
      </c>
      <c r="F47">
        <f>'15 Levetider og rente'!$G$6</f>
        <v>60</v>
      </c>
      <c r="G47">
        <f>'15 Levetider og rente'!$G$6</f>
        <v>60</v>
      </c>
      <c r="H47">
        <f>'15 Levetider og rente'!$G$6</f>
        <v>60</v>
      </c>
      <c r="I47">
        <f>'15 Levetider og rente'!$G$6</f>
        <v>60</v>
      </c>
      <c r="J47">
        <f>'15 Levetider og rente'!$G$6</f>
        <v>60</v>
      </c>
      <c r="K47">
        <f>'15 Levetider og rente'!$G$6</f>
        <v>60</v>
      </c>
      <c r="L47">
        <f>'15 Levetider og rente'!$G$6</f>
        <v>60</v>
      </c>
      <c r="M47">
        <f>'15 Levetider og rente'!$G$6</f>
        <v>60</v>
      </c>
      <c r="N47">
        <f>'15 Levetider og rente'!$G$6</f>
        <v>60</v>
      </c>
      <c r="O47">
        <f>'15 Levetider og rente'!$G$6</f>
        <v>60</v>
      </c>
    </row>
    <row r="48" spans="1:15" x14ac:dyDescent="0.25">
      <c r="B48" t="s">
        <v>680</v>
      </c>
      <c r="C48" t="s">
        <v>3</v>
      </c>
      <c r="D48" s="485">
        <f>'15 Levetider og rente'!$B$6</f>
        <v>0.06</v>
      </c>
      <c r="E48" s="485">
        <f>'15 Levetider og rente'!$B$6</f>
        <v>0.06</v>
      </c>
      <c r="F48" s="485">
        <f>'15 Levetider og rente'!$B$6</f>
        <v>0.06</v>
      </c>
      <c r="G48" s="485">
        <f>'15 Levetider og rente'!$B$6</f>
        <v>0.06</v>
      </c>
      <c r="H48" s="485">
        <f>'15 Levetider og rente'!$B$6</f>
        <v>0.06</v>
      </c>
      <c r="I48" s="485">
        <f>'15 Levetider og rente'!$B$6</f>
        <v>0.06</v>
      </c>
      <c r="J48" s="485">
        <f>'15 Levetider og rente'!$B$6</f>
        <v>0.06</v>
      </c>
      <c r="K48" s="485">
        <f>'15 Levetider og rente'!$B$6</f>
        <v>0.06</v>
      </c>
      <c r="L48" s="485">
        <f>'15 Levetider og rente'!$B$6</f>
        <v>0.06</v>
      </c>
      <c r="M48" s="485">
        <f>'15 Levetider og rente'!$B$6</f>
        <v>0.06</v>
      </c>
      <c r="N48" s="485">
        <f>'15 Levetider og rente'!$B$6</f>
        <v>0.06</v>
      </c>
      <c r="O48" s="485">
        <f>'15 Levetider og rente'!$B$6</f>
        <v>0.06</v>
      </c>
    </row>
    <row r="49" spans="1:15" x14ac:dyDescent="0.25">
      <c r="C49" t="s">
        <v>143</v>
      </c>
      <c r="D49" s="485">
        <f>'15 Levetider og rente'!$C$6</f>
        <v>0.06</v>
      </c>
      <c r="E49" s="485">
        <f>'15 Levetider og rente'!$C$6</f>
        <v>0.06</v>
      </c>
      <c r="F49" s="485">
        <f>'15 Levetider og rente'!$C$6</f>
        <v>0.06</v>
      </c>
      <c r="G49" s="485">
        <f>'15 Levetider og rente'!$C$6</f>
        <v>0.06</v>
      </c>
      <c r="H49" s="485">
        <f>'15 Levetider og rente'!$C$6</f>
        <v>0.06</v>
      </c>
      <c r="I49" s="485">
        <f>'15 Levetider og rente'!$C$6</f>
        <v>0.06</v>
      </c>
      <c r="J49" s="485">
        <f>'15 Levetider og rente'!$C$6</f>
        <v>0.06</v>
      </c>
      <c r="K49" s="485">
        <f>'15 Levetider og rente'!$C$6</f>
        <v>0.06</v>
      </c>
      <c r="L49" s="485">
        <f>'15 Levetider og rente'!$C$6</f>
        <v>0.06</v>
      </c>
      <c r="M49" s="485">
        <f>'15 Levetider og rente'!$C$6</f>
        <v>0.06</v>
      </c>
      <c r="N49" s="485">
        <f>'15 Levetider og rente'!$C$6</f>
        <v>0.06</v>
      </c>
      <c r="O49" s="485">
        <f>'15 Levetider og rente'!$C$6</f>
        <v>0.06</v>
      </c>
    </row>
    <row r="50" spans="1:15" x14ac:dyDescent="0.25">
      <c r="C50" t="s">
        <v>4</v>
      </c>
      <c r="D50" s="485">
        <f>'15 Levetider og rente'!$D$6</f>
        <v>0.06</v>
      </c>
      <c r="E50" s="485">
        <f>'15 Levetider og rente'!$D$6</f>
        <v>0.06</v>
      </c>
      <c r="F50" s="485">
        <f>'15 Levetider og rente'!$D$6</f>
        <v>0.06</v>
      </c>
      <c r="G50" s="485">
        <f>'15 Levetider og rente'!$D$6</f>
        <v>0.06</v>
      </c>
      <c r="H50" s="485">
        <f>'15 Levetider og rente'!$D$6</f>
        <v>0.06</v>
      </c>
      <c r="I50" s="485">
        <f>'15 Levetider og rente'!$D$6</f>
        <v>0.06</v>
      </c>
      <c r="J50" s="485">
        <f>'15 Levetider og rente'!$D$6</f>
        <v>0.06</v>
      </c>
      <c r="K50" s="485">
        <f>'15 Levetider og rente'!$D$6</f>
        <v>0.06</v>
      </c>
      <c r="L50" s="485">
        <f>'15 Levetider og rente'!$D$6</f>
        <v>0.06</v>
      </c>
      <c r="M50" s="485">
        <f>'15 Levetider og rente'!$D$6</f>
        <v>0.06</v>
      </c>
      <c r="N50" s="485">
        <f>'15 Levetider og rente'!$D$6</f>
        <v>0.06</v>
      </c>
      <c r="O50" s="485">
        <f>'15 Levetider og rente'!$D$6</f>
        <v>0.06</v>
      </c>
    </row>
    <row r="51" spans="1:15" x14ac:dyDescent="0.25">
      <c r="B51" t="s">
        <v>753</v>
      </c>
      <c r="C51" t="s">
        <v>3</v>
      </c>
      <c r="D51" s="617">
        <f>(D38-PV(D48,D47,D44))/-PV(D48,D47,D35)</f>
        <v>0</v>
      </c>
      <c r="E51" s="617">
        <f t="shared" ref="E51:O51" si="9">(E38-PV(E48,E47,E44))/-PV(E48,E47,E35)</f>
        <v>0</v>
      </c>
      <c r="F51" s="617">
        <f t="shared" si="9"/>
        <v>0</v>
      </c>
      <c r="G51" s="617">
        <f t="shared" si="9"/>
        <v>0</v>
      </c>
      <c r="H51" s="617">
        <f t="shared" si="9"/>
        <v>0</v>
      </c>
      <c r="I51" s="617">
        <f t="shared" si="9"/>
        <v>0</v>
      </c>
      <c r="J51" s="617">
        <f t="shared" si="9"/>
        <v>0</v>
      </c>
      <c r="K51" s="617">
        <f t="shared" si="9"/>
        <v>0</v>
      </c>
      <c r="L51" s="617">
        <f t="shared" si="9"/>
        <v>0</v>
      </c>
      <c r="M51" s="617">
        <f t="shared" si="9"/>
        <v>0</v>
      </c>
      <c r="N51" s="617">
        <f t="shared" si="9"/>
        <v>0</v>
      </c>
      <c r="O51" s="617">
        <f t="shared" si="9"/>
        <v>0</v>
      </c>
    </row>
    <row r="52" spans="1:15" x14ac:dyDescent="0.25">
      <c r="B52" t="s">
        <v>999</v>
      </c>
      <c r="C52" t="s">
        <v>143</v>
      </c>
      <c r="D52" s="617">
        <f>(D37-PV(D49,D46,D43))/-PV(D49,D46,D34)</f>
        <v>8.7345266121763334</v>
      </c>
      <c r="E52" s="617">
        <f>(E37-PV(E49,E46,E43))/-PV(E49,E46,E34)</f>
        <v>2.7904737154545831</v>
      </c>
      <c r="F52" s="617">
        <f>(F37-PV(F49,F46,F43))/-PV(F49,F46,F34)</f>
        <v>3.4155398277164153</v>
      </c>
      <c r="G52" s="617">
        <f t="shared" ref="G52:O52" si="10">(G37-PV(G49,G46,G43))/-PV(G49,G46,G34)</f>
        <v>2.6426089397715256</v>
      </c>
      <c r="H52" s="617">
        <f t="shared" si="10"/>
        <v>2.6988346618943315</v>
      </c>
      <c r="I52" s="617">
        <f>(I37-PV(I49,I46,I43))/-PV(I49,I46,I34)</f>
        <v>2.5625298809905677</v>
      </c>
      <c r="J52" s="617">
        <f t="shared" si="10"/>
        <v>2.3489857242413472</v>
      </c>
      <c r="K52" s="617">
        <f t="shared" si="10"/>
        <v>3.7125432909961034</v>
      </c>
      <c r="L52" s="617">
        <f t="shared" si="10"/>
        <v>2.4536924049686921</v>
      </c>
      <c r="M52" s="617">
        <f t="shared" si="10"/>
        <v>1.668434633751225</v>
      </c>
      <c r="N52" s="617">
        <f t="shared" si="10"/>
        <v>2.6851728205317671</v>
      </c>
      <c r="O52" s="617">
        <f t="shared" si="10"/>
        <v>2.7544676029971091</v>
      </c>
    </row>
    <row r="53" spans="1:15" x14ac:dyDescent="0.25">
      <c r="B53" t="s">
        <v>1016</v>
      </c>
      <c r="C53" t="s">
        <v>4</v>
      </c>
      <c r="D53" s="617">
        <f>(D36-PV(D50,D45,D42))/-PV(D50,D45,D33)</f>
        <v>22.023222863075013</v>
      </c>
      <c r="E53" s="617">
        <f>(E36-PV(E50,E45,E42))/-PV(E50,E45,E33)</f>
        <v>7.4250865819922067</v>
      </c>
      <c r="F53" s="617">
        <f t="shared" ref="F53:N53" si="11">(F36-PV(F50,F45,F42))/-PV(F50,F45,F33)</f>
        <v>8.2066746432545443</v>
      </c>
      <c r="G53" s="617">
        <f>(G36-PV(G50,G45,G42))/-PV(G50,G45,G33)</f>
        <v>11.343882278043651</v>
      </c>
      <c r="H53" s="617">
        <f t="shared" si="11"/>
        <v>10.312620252766919</v>
      </c>
      <c r="I53" s="617">
        <f t="shared" si="11"/>
        <v>10.31262025276701</v>
      </c>
      <c r="J53" s="617">
        <f t="shared" si="11"/>
        <v>8.1027730557455957</v>
      </c>
      <c r="K53" s="617">
        <f t="shared" si="11"/>
        <v>10.25834330406815</v>
      </c>
      <c r="L53" s="617">
        <f>(L36-PV(L50,L45,L42))/-PV(L50,L45,L33)</f>
        <v>6.9610186706176655</v>
      </c>
      <c r="M53" s="617">
        <f t="shared" si="11"/>
        <v>8.7442425893253208</v>
      </c>
      <c r="N53" s="617">
        <f t="shared" si="11"/>
        <v>9.9953088603741485</v>
      </c>
      <c r="O53" s="617">
        <f>(O36-PV(O50,O45,O42))/-PV(O50,O45,O33)</f>
        <v>10.25834330406815</v>
      </c>
    </row>
    <row r="54" spans="1:15" x14ac:dyDescent="0.25">
      <c r="B54" s="592" t="s">
        <v>753</v>
      </c>
      <c r="C54" s="592" t="s">
        <v>3</v>
      </c>
      <c r="D54" s="625">
        <f t="shared" ref="D54:I54" si="12">(D41-PV(D48,D47,D44))/-PV(D48,D47,D35)</f>
        <v>0.76401424433608867</v>
      </c>
      <c r="E54" s="626">
        <f t="shared" si="12"/>
        <v>1.8660931885959271</v>
      </c>
      <c r="F54" s="626">
        <f t="shared" si="12"/>
        <v>1.3134818110131476</v>
      </c>
      <c r="G54" s="625">
        <f t="shared" si="12"/>
        <v>0.23954511610757881</v>
      </c>
      <c r="H54" s="625">
        <f t="shared" si="12"/>
        <v>0.25529143842514002</v>
      </c>
      <c r="I54" s="625">
        <f t="shared" si="12"/>
        <v>0.23492069301669891</v>
      </c>
      <c r="J54" s="625">
        <f t="shared" ref="J54:O54" si="13">(J41-PV(J48,J47,J44))/-PV(J48,J47,J35)</f>
        <v>0.2224660310468925</v>
      </c>
      <c r="K54" s="629">
        <f>(K41-PV(K48,K47,K44))/-PV(K48,K47,K35)</f>
        <v>1.1999016201635528</v>
      </c>
      <c r="L54" s="626">
        <f t="shared" si="13"/>
        <v>0.96357301203459511</v>
      </c>
      <c r="M54" s="626">
        <f t="shared" si="13"/>
        <v>1.3661652245152243</v>
      </c>
      <c r="N54" s="629">
        <f t="shared" si="13"/>
        <v>0.86511425453767232</v>
      </c>
      <c r="O54" s="629">
        <f t="shared" si="13"/>
        <v>0.88589449579711033</v>
      </c>
    </row>
    <row r="55" spans="1:15" x14ac:dyDescent="0.25">
      <c r="B55" s="592" t="s">
        <v>1018</v>
      </c>
      <c r="C55" s="592" t="s">
        <v>143</v>
      </c>
      <c r="D55" s="626">
        <f t="shared" ref="D55:I55" si="14">(D40-PV(D49,D46,D43))/-PV(D49,D46,D34)</f>
        <v>1.3522998054384678</v>
      </c>
      <c r="E55" s="625">
        <f t="shared" si="14"/>
        <v>0.93015790515152785</v>
      </c>
      <c r="F55" s="625">
        <f t="shared" si="14"/>
        <v>1.1385132759054717</v>
      </c>
      <c r="G55" s="626">
        <f t="shared" si="14"/>
        <v>0.66602339132453081</v>
      </c>
      <c r="H55" s="626">
        <f t="shared" si="14"/>
        <v>0.68019410177824613</v>
      </c>
      <c r="I55" s="626">
        <f t="shared" si="14"/>
        <v>0.64584086431469589</v>
      </c>
      <c r="J55" s="626">
        <f t="shared" ref="J55:O55" si="15">(J40-PV(J49,J46,J43))/-PV(J49,J46,J34)</f>
        <v>0.5920207922884696</v>
      </c>
      <c r="K55" s="628">
        <f t="shared" si="15"/>
        <v>1.2375144303320345</v>
      </c>
      <c r="L55" s="625">
        <f t="shared" si="15"/>
        <v>0.81789746832289745</v>
      </c>
      <c r="M55" s="625">
        <f t="shared" si="15"/>
        <v>0.60034182185750484</v>
      </c>
      <c r="N55" s="628">
        <f t="shared" si="15"/>
        <v>0.89505760684392244</v>
      </c>
      <c r="O55" s="628">
        <f t="shared" si="15"/>
        <v>0.91815586766570301</v>
      </c>
    </row>
    <row r="56" spans="1:15" x14ac:dyDescent="0.25">
      <c r="B56" s="592" t="s">
        <v>1017</v>
      </c>
      <c r="C56" s="592" t="s">
        <v>4</v>
      </c>
      <c r="D56" s="626">
        <f>(D39-PV(D50,D45,D42))/-PV(D50,D45,D33)</f>
        <v>3.3004829903790891</v>
      </c>
      <c r="E56" s="626">
        <f t="shared" ref="E56:O56" si="16">(E39-PV(E50,E45,E42))/-PV(E50,E45,E33)</f>
        <v>2.003594791966151</v>
      </c>
      <c r="F56" s="626">
        <f t="shared" si="16"/>
        <v>2.2144995069099562</v>
      </c>
      <c r="G56" s="626">
        <f t="shared" si="16"/>
        <v>1.8562716454980517</v>
      </c>
      <c r="H56" s="626">
        <f t="shared" si="16"/>
        <v>1.6875196777254959</v>
      </c>
      <c r="I56" s="626">
        <f t="shared" si="16"/>
        <v>1.6875196777255106</v>
      </c>
      <c r="J56" s="626">
        <f t="shared" si="16"/>
        <v>1.3259083182129157</v>
      </c>
      <c r="K56" s="626">
        <f t="shared" si="16"/>
        <v>2.7681243836374372</v>
      </c>
      <c r="L56" s="626">
        <f t="shared" si="16"/>
        <v>1.878370117468259</v>
      </c>
      <c r="M56" s="626">
        <f t="shared" si="16"/>
        <v>2.5996396887183373</v>
      </c>
      <c r="N56" s="626">
        <f t="shared" si="16"/>
        <v>2.6971468353390557</v>
      </c>
      <c r="O56" s="626">
        <f t="shared" si="16"/>
        <v>2.7681243836374372</v>
      </c>
    </row>
    <row r="57" spans="1:15" x14ac:dyDescent="0.25">
      <c r="B57" t="s">
        <v>753</v>
      </c>
      <c r="C57" t="s">
        <v>3</v>
      </c>
      <c r="D57" s="627">
        <f>D54</f>
        <v>0.76401424433608867</v>
      </c>
      <c r="E57" s="627">
        <f>E55</f>
        <v>0.93015790515152785</v>
      </c>
      <c r="F57" s="627">
        <f>F55</f>
        <v>1.1385132759054717</v>
      </c>
      <c r="G57" s="627">
        <f>G54</f>
        <v>0.23954511610757881</v>
      </c>
      <c r="H57" s="627">
        <f t="shared" ref="H57:J57" si="17">H54</f>
        <v>0.25529143842514002</v>
      </c>
      <c r="I57" s="627">
        <f t="shared" si="17"/>
        <v>0.23492069301669891</v>
      </c>
      <c r="J57" s="627">
        <f t="shared" si="17"/>
        <v>0.2224660310468925</v>
      </c>
      <c r="K57" s="627">
        <f>K54</f>
        <v>1.1999016201635528</v>
      </c>
      <c r="L57" s="627">
        <f>L55</f>
        <v>0.81789746832289745</v>
      </c>
      <c r="M57" s="627">
        <f t="shared" ref="M57" si="18">M55</f>
        <v>0.60034182185750484</v>
      </c>
      <c r="N57" s="627">
        <f>N54</f>
        <v>0.86511425453767232</v>
      </c>
      <c r="O57" s="627">
        <f>O54</f>
        <v>0.88589449579711033</v>
      </c>
    </row>
    <row r="58" spans="1:15" x14ac:dyDescent="0.25">
      <c r="B58" s="404" t="s">
        <v>1021</v>
      </c>
      <c r="C58" t="s">
        <v>143</v>
      </c>
      <c r="D58" s="627">
        <f>D55</f>
        <v>1.3522998054384678</v>
      </c>
      <c r="E58" s="627">
        <f>E52</f>
        <v>2.7904737154545831</v>
      </c>
      <c r="F58" s="627">
        <f>F52</f>
        <v>3.4155398277164153</v>
      </c>
      <c r="G58" s="627">
        <f>G52</f>
        <v>2.6426089397715256</v>
      </c>
      <c r="H58" s="627">
        <f t="shared" ref="H58:O58" si="19">H52</f>
        <v>2.6988346618943315</v>
      </c>
      <c r="I58" s="627">
        <f t="shared" si="19"/>
        <v>2.5625298809905677</v>
      </c>
      <c r="J58" s="627">
        <f t="shared" si="19"/>
        <v>2.3489857242413472</v>
      </c>
      <c r="K58" s="627">
        <f t="shared" si="19"/>
        <v>3.7125432909961034</v>
      </c>
      <c r="L58" s="627">
        <f>L52</f>
        <v>2.4536924049686921</v>
      </c>
      <c r="M58" s="627">
        <f>M52</f>
        <v>1.668434633751225</v>
      </c>
      <c r="N58" s="627">
        <f t="shared" si="19"/>
        <v>2.6851728205317671</v>
      </c>
      <c r="O58" s="627">
        <f t="shared" si="19"/>
        <v>2.7544676029971091</v>
      </c>
    </row>
    <row r="59" spans="1:15" x14ac:dyDescent="0.25">
      <c r="C59" t="s">
        <v>4</v>
      </c>
      <c r="D59" s="627">
        <f>D53</f>
        <v>22.023222863075013</v>
      </c>
      <c r="E59" s="627">
        <f>E53</f>
        <v>7.4250865819922067</v>
      </c>
      <c r="F59" s="627">
        <f>F53</f>
        <v>8.2066746432545443</v>
      </c>
      <c r="G59" s="627">
        <f t="shared" ref="G59:O59" si="20">G53</f>
        <v>11.343882278043651</v>
      </c>
      <c r="H59" s="627">
        <f t="shared" si="20"/>
        <v>10.312620252766919</v>
      </c>
      <c r="I59" s="627">
        <f t="shared" si="20"/>
        <v>10.31262025276701</v>
      </c>
      <c r="J59" s="627">
        <f t="shared" si="20"/>
        <v>8.1027730557455957</v>
      </c>
      <c r="K59" s="627">
        <f t="shared" si="20"/>
        <v>10.25834330406815</v>
      </c>
      <c r="L59" s="627">
        <f>L53</f>
        <v>6.9610186706176655</v>
      </c>
      <c r="M59" s="627">
        <f t="shared" si="20"/>
        <v>8.7442425893253208</v>
      </c>
      <c r="N59" s="627">
        <f t="shared" si="20"/>
        <v>9.9953088603741485</v>
      </c>
      <c r="O59" s="627">
        <f t="shared" si="20"/>
        <v>10.25834330406815</v>
      </c>
    </row>
    <row r="61" spans="1:15" x14ac:dyDescent="0.25">
      <c r="A61" t="s">
        <v>611</v>
      </c>
      <c r="B61" t="s">
        <v>676</v>
      </c>
      <c r="C61" t="s">
        <v>3</v>
      </c>
      <c r="D61" s="62">
        <f>'8 Lav energibesparelse'!D92</f>
        <v>8.2999999999999829</v>
      </c>
      <c r="E61" s="62">
        <f>'8 Lav energibesparelse'!F92</f>
        <v>3.7000000000000171</v>
      </c>
      <c r="F61" s="62">
        <f>'8 Lav energibesparelse'!H92</f>
        <v>20.199999999999989</v>
      </c>
      <c r="G61" s="62">
        <f>'8 Lav energibesparelse'!J92</f>
        <v>5.5999999999999943</v>
      </c>
      <c r="H61" s="62">
        <f>'8 Lav energibesparelse'!L92</f>
        <v>9</v>
      </c>
      <c r="I61" s="62">
        <f>'8 Lav energibesparelse'!N92</f>
        <v>6</v>
      </c>
      <c r="J61" s="62">
        <f>'8 Lav energibesparelse'!P92</f>
        <v>7.5</v>
      </c>
      <c r="K61" s="62">
        <f>'8 Lav energibesparelse'!R92</f>
        <v>10.400000000000034</v>
      </c>
      <c r="L61" s="62">
        <f>'8 Lav energibesparelse'!T92</f>
        <v>11.900000000000006</v>
      </c>
      <c r="M61" s="62">
        <f>'8 Lav energibesparelse'!V92</f>
        <v>17</v>
      </c>
      <c r="N61" s="633">
        <f>'9 Median energibesparelse'!X92</f>
        <v>8.8000000000000114</v>
      </c>
      <c r="O61" s="62">
        <f>'8 Lav energibesparelse'!Z92</f>
        <v>10.199999999999989</v>
      </c>
    </row>
    <row r="62" spans="1:15" x14ac:dyDescent="0.25">
      <c r="C62" t="s">
        <v>143</v>
      </c>
      <c r="D62" s="62">
        <f>'9 Median energibesparelse'!D92</f>
        <v>13.099999999999994</v>
      </c>
      <c r="E62" s="62">
        <f>'9 Median energibesparelse'!F92</f>
        <v>8.3000000000000114</v>
      </c>
      <c r="F62" s="62">
        <f>'9 Median energibesparelse'!H92</f>
        <v>25.800000000000011</v>
      </c>
      <c r="G62" s="62">
        <f>'9 Median energibesparelse'!J92</f>
        <v>8</v>
      </c>
      <c r="H62" s="62">
        <f>'9 Median energibesparelse'!L92</f>
        <v>11.699999999999989</v>
      </c>
      <c r="I62" s="62">
        <f>'9 Median energibesparelse'!N92</f>
        <v>8.3000000000000114</v>
      </c>
      <c r="J62" s="62">
        <f>'9 Median energibesparelse'!P92</f>
        <v>9</v>
      </c>
      <c r="K62" s="62">
        <f>'9 Median energibesparelse'!R92</f>
        <v>12.599999999999966</v>
      </c>
      <c r="L62" s="62">
        <f>'9 Median energibesparelse'!T92</f>
        <v>14.199999999999989</v>
      </c>
      <c r="M62" s="62">
        <f>'9 Median energibesparelse'!V92</f>
        <v>21</v>
      </c>
      <c r="N62" s="633">
        <f>'8 Lav energibesparelse'!X92</f>
        <v>10.299999999999983</v>
      </c>
      <c r="O62" s="62">
        <f>'9 Median energibesparelse'!Z92</f>
        <v>12.899999999999977</v>
      </c>
    </row>
    <row r="63" spans="1:15" x14ac:dyDescent="0.25">
      <c r="C63" t="s">
        <v>4</v>
      </c>
      <c r="D63" s="555">
        <f>'10 Høy energibesparelse'!D92</f>
        <v>32.800000000000011</v>
      </c>
      <c r="E63" s="555">
        <f>'10 Høy energibesparelse'!F92</f>
        <v>19.399999999999977</v>
      </c>
      <c r="F63" s="555">
        <f>'10 Høy energibesparelse'!H92</f>
        <v>68.400000000000034</v>
      </c>
      <c r="G63" s="555">
        <f>'10 Høy energibesparelse'!J92</f>
        <v>24.199999999999989</v>
      </c>
      <c r="H63" s="62">
        <f>'10 Høy energibesparelse'!L92</f>
        <v>33.5</v>
      </c>
      <c r="I63" s="62">
        <f>'10 Høy energibesparelse'!N92</f>
        <v>24.599999999999966</v>
      </c>
      <c r="J63" s="62">
        <f>'10 Høy energibesparelse'!P92</f>
        <v>25.899999999999977</v>
      </c>
      <c r="K63" s="62">
        <f>'10 Høy energibesparelse'!R92</f>
        <v>37.700000000000045</v>
      </c>
      <c r="L63" s="62">
        <f>'10 Høy energibesparelse'!T92</f>
        <v>36.600000000000023</v>
      </c>
      <c r="M63" s="62">
        <f>'10 Høy energibesparelse'!V92</f>
        <v>54.699999999999932</v>
      </c>
      <c r="N63" s="62">
        <f>'10 Høy energibesparelse'!X92</f>
        <v>25.600000000000023</v>
      </c>
      <c r="O63" s="62">
        <f>'10 Høy energibesparelse'!Z92</f>
        <v>37.5</v>
      </c>
    </row>
    <row r="64" spans="1:15" x14ac:dyDescent="0.25">
      <c r="B64" t="s">
        <v>677</v>
      </c>
      <c r="C64" t="s">
        <v>3</v>
      </c>
      <c r="D64" s="555">
        <f>'11 Kostnader Bygg'!$O$44</f>
        <v>815</v>
      </c>
      <c r="E64" s="555">
        <f>'11 Kostnader Bygg'!$O$45</f>
        <v>650</v>
      </c>
      <c r="F64" s="555">
        <f>'11 Kostnader Bygg'!$O$46</f>
        <v>1630</v>
      </c>
      <c r="G64" s="555">
        <f>'11 Kostnader Bygg'!$O$47</f>
        <v>600</v>
      </c>
      <c r="H64" s="555">
        <f>'11 Kostnader Bygg'!$O$48</f>
        <v>900</v>
      </c>
      <c r="I64" s="555">
        <f>'11 Kostnader Bygg'!$O$49</f>
        <v>600</v>
      </c>
      <c r="J64" s="555">
        <f>'11 Kostnader Bygg'!$O$50</f>
        <v>600</v>
      </c>
      <c r="K64" s="555">
        <f>'11 Kostnader Bygg'!$O$51</f>
        <v>815</v>
      </c>
      <c r="L64" s="555">
        <f>'11 Kostnader Bygg'!$O$52</f>
        <v>975</v>
      </c>
      <c r="M64" s="555">
        <f>'11 Kostnader Bygg'!$O$53</f>
        <v>1950</v>
      </c>
      <c r="N64" s="555">
        <f>'11 Kostnader Bygg'!$O$54</f>
        <v>600</v>
      </c>
      <c r="O64" s="555">
        <f>'11 Kostnader Bygg'!$O$55</f>
        <v>900</v>
      </c>
    </row>
    <row r="65" spans="1:15" x14ac:dyDescent="0.25">
      <c r="C65" t="s">
        <v>143</v>
      </c>
      <c r="D65" s="555">
        <f>'11 Kostnader Bygg'!$P$44</f>
        <v>2270</v>
      </c>
      <c r="E65" s="555">
        <f>'11 Kostnader Bygg'!$P$45</f>
        <v>686.66666666666663</v>
      </c>
      <c r="F65" s="555">
        <f>'11 Kostnader Bygg'!$P$46</f>
        <v>4540</v>
      </c>
      <c r="G65" s="555">
        <f>'11 Kostnader Bygg'!$P$47</f>
        <v>1280</v>
      </c>
      <c r="H65" s="555">
        <f>'11 Kostnader Bygg'!$P$48</f>
        <v>1920</v>
      </c>
      <c r="I65" s="555">
        <f>'11 Kostnader Bygg'!$P$49</f>
        <v>1280</v>
      </c>
      <c r="J65" s="555">
        <f>'11 Kostnader Bygg'!$P$50</f>
        <v>1280</v>
      </c>
      <c r="K65" s="555">
        <f>'11 Kostnader Bygg'!$P$51</f>
        <v>2270</v>
      </c>
      <c r="L65" s="555">
        <f>'11 Kostnader Bygg'!$P$52</f>
        <v>1030</v>
      </c>
      <c r="M65" s="555">
        <f>'11 Kostnader Bygg'!$P$53</f>
        <v>2060</v>
      </c>
      <c r="N65" s="555">
        <f>'11 Kostnader Bygg'!$P$54</f>
        <v>1280</v>
      </c>
      <c r="O65" s="555">
        <f>'11 Kostnader Bygg'!$P$55</f>
        <v>1920</v>
      </c>
    </row>
    <row r="66" spans="1:15" x14ac:dyDescent="0.25">
      <c r="C66" t="s">
        <v>4</v>
      </c>
      <c r="D66" s="555">
        <f>'11 Kostnader Bygg'!$Q$44</f>
        <v>2380</v>
      </c>
      <c r="E66" s="555">
        <f>'11 Kostnader Bygg'!$Q$45</f>
        <v>1443.3333333333333</v>
      </c>
      <c r="F66" s="555">
        <f>'11 Kostnader Bygg'!$Q$46</f>
        <v>4760</v>
      </c>
      <c r="G66" s="555">
        <f>'11 Kostnader Bygg'!$Q$47</f>
        <v>1472</v>
      </c>
      <c r="H66" s="555">
        <f>'11 Kostnader Bygg'!$Q$48</f>
        <v>2208</v>
      </c>
      <c r="I66" s="555">
        <f>'11 Kostnader Bygg'!$Q$49</f>
        <v>1472</v>
      </c>
      <c r="J66" s="555">
        <f>'11 Kostnader Bygg'!$Q$50</f>
        <v>1472</v>
      </c>
      <c r="K66" s="555">
        <f>'11 Kostnader Bygg'!$Q$51</f>
        <v>2380</v>
      </c>
      <c r="L66" s="555">
        <f>'11 Kostnader Bygg'!$Q$52</f>
        <v>2165</v>
      </c>
      <c r="M66" s="555">
        <f>'11 Kostnader Bygg'!$Q$53</f>
        <v>4330</v>
      </c>
      <c r="N66" s="555">
        <f>'11 Kostnader Bygg'!$Q$54</f>
        <v>1472</v>
      </c>
      <c r="O66" s="555">
        <f>'11 Kostnader Bygg'!$Q$55</f>
        <v>2208</v>
      </c>
    </row>
    <row r="67" spans="1:15" x14ac:dyDescent="0.25">
      <c r="B67" t="s">
        <v>678</v>
      </c>
      <c r="C67" t="s">
        <v>3</v>
      </c>
      <c r="D67">
        <v>0</v>
      </c>
      <c r="E67">
        <v>0</v>
      </c>
      <c r="F67">
        <v>0</v>
      </c>
      <c r="G67">
        <v>0</v>
      </c>
      <c r="H67">
        <v>0</v>
      </c>
      <c r="I67">
        <v>0</v>
      </c>
      <c r="J67">
        <v>0</v>
      </c>
      <c r="K67">
        <v>0</v>
      </c>
      <c r="L67">
        <v>0</v>
      </c>
      <c r="M67">
        <v>0</v>
      </c>
      <c r="N67">
        <v>0</v>
      </c>
      <c r="O67">
        <v>0</v>
      </c>
    </row>
    <row r="68" spans="1:15" x14ac:dyDescent="0.25">
      <c r="C68" t="s">
        <v>143</v>
      </c>
      <c r="D68">
        <v>0</v>
      </c>
      <c r="E68">
        <v>0</v>
      </c>
      <c r="F68">
        <v>0</v>
      </c>
      <c r="G68">
        <v>0</v>
      </c>
      <c r="H68">
        <v>0</v>
      </c>
      <c r="I68">
        <v>0</v>
      </c>
      <c r="J68">
        <v>0</v>
      </c>
      <c r="K68">
        <v>0</v>
      </c>
      <c r="L68">
        <v>0</v>
      </c>
      <c r="M68">
        <v>0</v>
      </c>
      <c r="N68">
        <v>0</v>
      </c>
      <c r="O68">
        <v>0</v>
      </c>
    </row>
    <row r="69" spans="1:15" x14ac:dyDescent="0.25">
      <c r="C69" t="s">
        <v>4</v>
      </c>
      <c r="D69">
        <v>0</v>
      </c>
      <c r="E69">
        <v>0</v>
      </c>
      <c r="F69">
        <v>0</v>
      </c>
      <c r="G69">
        <v>0</v>
      </c>
      <c r="H69">
        <v>0</v>
      </c>
      <c r="I69">
        <v>0</v>
      </c>
      <c r="J69">
        <v>0</v>
      </c>
      <c r="K69">
        <v>0</v>
      </c>
      <c r="L69">
        <v>0</v>
      </c>
      <c r="M69">
        <v>0</v>
      </c>
      <c r="N69">
        <v>0</v>
      </c>
      <c r="O69">
        <v>0</v>
      </c>
    </row>
    <row r="70" spans="1:15" x14ac:dyDescent="0.25">
      <c r="B70" t="s">
        <v>679</v>
      </c>
      <c r="C70" t="s">
        <v>3</v>
      </c>
      <c r="D70">
        <f>'15 Levetider og rente'!$E$7</f>
        <v>60</v>
      </c>
      <c r="E70">
        <f>'15 Levetider og rente'!$E$7</f>
        <v>60</v>
      </c>
      <c r="F70">
        <f>'15 Levetider og rente'!$E$7</f>
        <v>60</v>
      </c>
      <c r="G70">
        <f>'15 Levetider og rente'!$E$7</f>
        <v>60</v>
      </c>
      <c r="H70">
        <f>'15 Levetider og rente'!$E$7</f>
        <v>60</v>
      </c>
      <c r="I70">
        <f>'15 Levetider og rente'!$E$7</f>
        <v>60</v>
      </c>
      <c r="J70">
        <f>'15 Levetider og rente'!$E$7</f>
        <v>60</v>
      </c>
      <c r="K70">
        <f>'15 Levetider og rente'!$E$7</f>
        <v>60</v>
      </c>
      <c r="L70">
        <f>'15 Levetider og rente'!$E$7</f>
        <v>60</v>
      </c>
      <c r="M70">
        <f>'15 Levetider og rente'!$E$7</f>
        <v>60</v>
      </c>
      <c r="N70">
        <f>'15 Levetider og rente'!$E$7</f>
        <v>60</v>
      </c>
      <c r="O70">
        <f>'15 Levetider og rente'!$E$7</f>
        <v>60</v>
      </c>
    </row>
    <row r="71" spans="1:15" x14ac:dyDescent="0.25">
      <c r="C71" t="s">
        <v>143</v>
      </c>
      <c r="D71">
        <f>'15 Levetider og rente'!$F$7</f>
        <v>60</v>
      </c>
      <c r="E71">
        <f>'15 Levetider og rente'!$F$7</f>
        <v>60</v>
      </c>
      <c r="F71">
        <f>'15 Levetider og rente'!$F$7</f>
        <v>60</v>
      </c>
      <c r="G71">
        <f>'15 Levetider og rente'!$F$7</f>
        <v>60</v>
      </c>
      <c r="H71">
        <f>'15 Levetider og rente'!$F$7</f>
        <v>60</v>
      </c>
      <c r="I71">
        <f>'15 Levetider og rente'!$F$7</f>
        <v>60</v>
      </c>
      <c r="J71">
        <f>'15 Levetider og rente'!$F$7</f>
        <v>60</v>
      </c>
      <c r="K71">
        <f>'15 Levetider og rente'!$F$7</f>
        <v>60</v>
      </c>
      <c r="L71">
        <f>'15 Levetider og rente'!$F$7</f>
        <v>60</v>
      </c>
      <c r="M71">
        <f>'15 Levetider og rente'!$F$7</f>
        <v>60</v>
      </c>
      <c r="N71">
        <f>'15 Levetider og rente'!$F$7</f>
        <v>60</v>
      </c>
      <c r="O71">
        <f>'15 Levetider og rente'!$F$7</f>
        <v>60</v>
      </c>
    </row>
    <row r="72" spans="1:15" x14ac:dyDescent="0.25">
      <c r="C72" t="s">
        <v>4</v>
      </c>
      <c r="D72">
        <f>'15 Levetider og rente'!$G$7</f>
        <v>60</v>
      </c>
      <c r="E72">
        <f>'15 Levetider og rente'!$G$7</f>
        <v>60</v>
      </c>
      <c r="F72">
        <f>'15 Levetider og rente'!$G$7</f>
        <v>60</v>
      </c>
      <c r="G72">
        <f>'15 Levetider og rente'!$G$7</f>
        <v>60</v>
      </c>
      <c r="H72">
        <f>'15 Levetider og rente'!$G$7</f>
        <v>60</v>
      </c>
      <c r="I72">
        <f>'15 Levetider og rente'!$G$7</f>
        <v>60</v>
      </c>
      <c r="J72">
        <f>'15 Levetider og rente'!$G$7</f>
        <v>60</v>
      </c>
      <c r="K72">
        <f>'15 Levetider og rente'!$G$7</f>
        <v>60</v>
      </c>
      <c r="L72">
        <f>'15 Levetider og rente'!$G$7</f>
        <v>60</v>
      </c>
      <c r="M72">
        <f>'15 Levetider og rente'!$G$7</f>
        <v>60</v>
      </c>
      <c r="N72">
        <f>'15 Levetider og rente'!$G$7</f>
        <v>60</v>
      </c>
      <c r="O72">
        <f>'15 Levetider og rente'!$G$7</f>
        <v>60</v>
      </c>
    </row>
    <row r="73" spans="1:15" x14ac:dyDescent="0.25">
      <c r="B73" t="s">
        <v>680</v>
      </c>
      <c r="C73" t="s">
        <v>3</v>
      </c>
      <c r="D73" s="485">
        <f>'15 Levetider og rente'!$B$7</f>
        <v>0.06</v>
      </c>
      <c r="E73" s="485">
        <f>'15 Levetider og rente'!$B$7</f>
        <v>0.06</v>
      </c>
      <c r="F73" s="485">
        <f>'15 Levetider og rente'!$B$7</f>
        <v>0.06</v>
      </c>
      <c r="G73" s="485">
        <f>'15 Levetider og rente'!$B$7</f>
        <v>0.06</v>
      </c>
      <c r="H73" s="485">
        <f>'15 Levetider og rente'!$B$7</f>
        <v>0.06</v>
      </c>
      <c r="I73" s="485">
        <f>'15 Levetider og rente'!$B$7</f>
        <v>0.06</v>
      </c>
      <c r="J73" s="485">
        <f>'15 Levetider og rente'!$B$7</f>
        <v>0.06</v>
      </c>
      <c r="K73" s="485">
        <f>'15 Levetider og rente'!$B$7</f>
        <v>0.06</v>
      </c>
      <c r="L73" s="485">
        <f>'15 Levetider og rente'!$B$7</f>
        <v>0.06</v>
      </c>
      <c r="M73" s="485">
        <f>'15 Levetider og rente'!$B$7</f>
        <v>0.06</v>
      </c>
      <c r="N73" s="485">
        <f>'15 Levetider og rente'!$B$7</f>
        <v>0.06</v>
      </c>
      <c r="O73" s="485">
        <f>'15 Levetider og rente'!$B$7</f>
        <v>0.06</v>
      </c>
    </row>
    <row r="74" spans="1:15" x14ac:dyDescent="0.25">
      <c r="C74" t="s">
        <v>143</v>
      </c>
      <c r="D74" s="485">
        <f>'15 Levetider og rente'!$C$7</f>
        <v>0.06</v>
      </c>
      <c r="E74" s="485">
        <f>'15 Levetider og rente'!$C$7</f>
        <v>0.06</v>
      </c>
      <c r="F74" s="485">
        <f>'15 Levetider og rente'!$C$7</f>
        <v>0.06</v>
      </c>
      <c r="G74" s="485">
        <f>'15 Levetider og rente'!$C$7</f>
        <v>0.06</v>
      </c>
      <c r="H74" s="485">
        <f>'15 Levetider og rente'!$C$7</f>
        <v>0.06</v>
      </c>
      <c r="I74" s="485">
        <f>'15 Levetider og rente'!$C$7</f>
        <v>0.06</v>
      </c>
      <c r="J74" s="485">
        <f>'15 Levetider og rente'!$C$7</f>
        <v>0.06</v>
      </c>
      <c r="K74" s="485">
        <f>'15 Levetider og rente'!$C$7</f>
        <v>0.06</v>
      </c>
      <c r="L74" s="485">
        <f>'15 Levetider og rente'!$C$7</f>
        <v>0.06</v>
      </c>
      <c r="M74" s="485">
        <f>'15 Levetider og rente'!$C$7</f>
        <v>0.06</v>
      </c>
      <c r="N74" s="485">
        <f>'15 Levetider og rente'!$C$7</f>
        <v>0.06</v>
      </c>
      <c r="O74" s="485">
        <f>'15 Levetider og rente'!$C$7</f>
        <v>0.06</v>
      </c>
    </row>
    <row r="75" spans="1:15" x14ac:dyDescent="0.25">
      <c r="C75" t="s">
        <v>4</v>
      </c>
      <c r="D75" s="485">
        <f>'15 Levetider og rente'!$D$7</f>
        <v>0.06</v>
      </c>
      <c r="E75" s="485">
        <f>'15 Levetider og rente'!$D$7</f>
        <v>0.06</v>
      </c>
      <c r="F75" s="485">
        <f>'15 Levetider og rente'!$D$7</f>
        <v>0.06</v>
      </c>
      <c r="G75" s="485">
        <f>'15 Levetider og rente'!$D$7</f>
        <v>0.06</v>
      </c>
      <c r="H75" s="485">
        <f>'15 Levetider og rente'!$D$7</f>
        <v>0.06</v>
      </c>
      <c r="I75" s="485">
        <f>'15 Levetider og rente'!$D$7</f>
        <v>0.06</v>
      </c>
      <c r="J75" s="485">
        <f>'15 Levetider og rente'!$D$7</f>
        <v>0.06</v>
      </c>
      <c r="K75" s="485">
        <f>'15 Levetider og rente'!$D$7</f>
        <v>0.06</v>
      </c>
      <c r="L75" s="485">
        <f>'15 Levetider og rente'!$D$7</f>
        <v>0.06</v>
      </c>
      <c r="M75" s="485">
        <f>'15 Levetider og rente'!$D$7</f>
        <v>0.06</v>
      </c>
      <c r="N75" s="485">
        <f>'15 Levetider og rente'!$D$7</f>
        <v>0.06</v>
      </c>
      <c r="O75" s="485">
        <f>'15 Levetider og rente'!$D$7</f>
        <v>0.06</v>
      </c>
    </row>
    <row r="76" spans="1:15" x14ac:dyDescent="0.25">
      <c r="B76" t="s">
        <v>753</v>
      </c>
      <c r="C76" t="s">
        <v>3</v>
      </c>
      <c r="D76" s="564">
        <f t="shared" ref="D76:J76" si="21">(D64-PV(D73,D72,D67))/-PV(D73,D72,D63)</f>
        <v>1.5374607632936095</v>
      </c>
      <c r="E76" s="564">
        <f t="shared" si="21"/>
        <v>2.0731556178242871</v>
      </c>
      <c r="F76" s="564">
        <f t="shared" si="21"/>
        <v>1.4745237729833447</v>
      </c>
      <c r="G76" s="564">
        <f>(G64-PV(G73,G72,G67))/-PV(G73,G72,G63)</f>
        <v>1.5341087979322747</v>
      </c>
      <c r="H76" s="564">
        <f t="shared" si="21"/>
        <v>1.6623328168639273</v>
      </c>
      <c r="I76" s="564">
        <f t="shared" si="21"/>
        <v>1.5091639394293126</v>
      </c>
      <c r="J76" s="564">
        <f t="shared" si="21"/>
        <v>1.4334143980679948</v>
      </c>
      <c r="K76" s="564">
        <f t="shared" ref="K76:O76" si="22">(K64-PV(K73,K72,K67))/-PV(K73,K72,K63)</f>
        <v>1.3376316455180464</v>
      </c>
      <c r="L76" s="564">
        <f t="shared" si="22"/>
        <v>1.6483286469586516</v>
      </c>
      <c r="M76" s="564">
        <f t="shared" si="22"/>
        <v>2.2058072569903748</v>
      </c>
      <c r="N76" s="564">
        <f t="shared" si="22"/>
        <v>1.4502122230453518</v>
      </c>
      <c r="O76" s="564">
        <f t="shared" si="22"/>
        <v>1.4850173163984415</v>
      </c>
    </row>
    <row r="77" spans="1:15" x14ac:dyDescent="0.25">
      <c r="C77" t="s">
        <v>143</v>
      </c>
      <c r="D77" s="564">
        <f>(D65-PV(D74,D71,D68))/-PV(D74,D71,D62)</f>
        <v>10.721976171197403</v>
      </c>
      <c r="E77" s="564">
        <f>(E66-PV(E74,E71,E68))/-PV(E74,E71,E62)</f>
        <v>10.759914625176108</v>
      </c>
      <c r="F77" s="564">
        <f>(F65-PV(F74,F71,F68))/-PV(F74,F71,F62)</f>
        <v>10.88820835989813</v>
      </c>
      <c r="G77" s="564">
        <f>(G65-PV(G74,G71,G68))/-PV(G74,G71,G62)</f>
        <v>9.9001154426562756</v>
      </c>
      <c r="H77" s="564">
        <f t="shared" ref="H77:O77" si="23">(H65-PV(H74,H71,H68))/-PV(H74,H71,H62)</f>
        <v>10.15396455657055</v>
      </c>
      <c r="I77" s="564">
        <f>(I65-PV(I74,I71,I68))/-PV(I74,I71,I62)</f>
        <v>9.5422799447289286</v>
      </c>
      <c r="J77" s="564">
        <f t="shared" si="23"/>
        <v>8.8001026156944686</v>
      </c>
      <c r="K77" s="564">
        <f t="shared" si="23"/>
        <v>11.147451416086215</v>
      </c>
      <c r="L77" s="564">
        <f>(L65-PV(L74,L71,L68))/-PV(L74,L71,L62)</f>
        <v>4.4881685325422414</v>
      </c>
      <c r="M77" s="564">
        <f t="shared" si="23"/>
        <v>6.0697136344856926</v>
      </c>
      <c r="N77" s="564">
        <f>(N65-PV(N74,N71,N68))/-PV(N74,N71,N62)</f>
        <v>7.6894100525485776</v>
      </c>
      <c r="O77" s="564">
        <f t="shared" si="23"/>
        <v>9.2094097140988787</v>
      </c>
    </row>
    <row r="78" spans="1:15" x14ac:dyDescent="0.25">
      <c r="C78" t="s">
        <v>4</v>
      </c>
      <c r="D78" s="564">
        <f>(D66-PV(D75,D70,D69))/-PV(D75,D70,D61)</f>
        <v>17.742676772230407</v>
      </c>
      <c r="E78" s="564">
        <f>(E65-PV(E75,E70,E69))/-PV(E75,E70,E61)</f>
        <v>11.483242011189096</v>
      </c>
      <c r="F78" s="564">
        <f t="shared" ref="F78:O78" si="24">(F66-PV(F75,F70,F69))/-PV(F75,F70,F61)</f>
        <v>14.580615565298238</v>
      </c>
      <c r="G78" s="564">
        <f>(G66-PV(G75,G70,G69))/-PV(G75,G70,G61)</f>
        <v>16.264475370078184</v>
      </c>
      <c r="H78" s="564">
        <f t="shared" si="24"/>
        <v>15.180177012072956</v>
      </c>
      <c r="I78" s="564">
        <f t="shared" si="24"/>
        <v>15.180177012072956</v>
      </c>
      <c r="J78" s="564">
        <f t="shared" si="24"/>
        <v>12.144141609658366</v>
      </c>
      <c r="K78" s="564">
        <f t="shared" si="24"/>
        <v>14.160020885529967</v>
      </c>
      <c r="L78" s="564">
        <f t="shared" si="24"/>
        <v>11.257221603650645</v>
      </c>
      <c r="M78" s="564">
        <f t="shared" si="24"/>
        <v>15.760110245110909</v>
      </c>
      <c r="N78" s="564">
        <f>(N66-PV(N75,N70,N69))/-PV(N75,N70,N61)</f>
        <v>10.35012069004973</v>
      </c>
      <c r="O78" s="564">
        <f t="shared" si="24"/>
        <v>13.394273834182034</v>
      </c>
    </row>
    <row r="80" spans="1:15" x14ac:dyDescent="0.25">
      <c r="A80" t="s">
        <v>613</v>
      </c>
      <c r="B80" t="s">
        <v>676</v>
      </c>
      <c r="C80" t="s">
        <v>3</v>
      </c>
      <c r="D80" s="62">
        <f>'8 Lav energibesparelse'!D121</f>
        <v>36.299999999999983</v>
      </c>
      <c r="E80" s="62">
        <f>'8 Lav energibesparelse'!F121</f>
        <v>27.300000000000011</v>
      </c>
      <c r="F80" s="62">
        <f>'8 Lav energibesparelse'!H121</f>
        <v>32</v>
      </c>
      <c r="G80" s="62">
        <f>'8 Lav energibesparelse'!J121</f>
        <v>25.299999999999983</v>
      </c>
      <c r="H80" s="62">
        <f>'8 Lav energibesparelse'!L121</f>
        <v>31.099999999999994</v>
      </c>
      <c r="I80" s="62">
        <f>'8 Lav energibesparelse'!N121</f>
        <v>26.699999999999989</v>
      </c>
      <c r="J80" s="62">
        <f>'8 Lav energibesparelse'!P121</f>
        <v>27.899999999999977</v>
      </c>
      <c r="K80" s="62">
        <f>'8 Lav energibesparelse'!R121</f>
        <v>33.5</v>
      </c>
      <c r="L80" s="62">
        <f>'8 Lav energibesparelse'!T121</f>
        <v>34</v>
      </c>
      <c r="M80" s="62">
        <f>'8 Lav energibesparelse'!V121</f>
        <v>49.699999999999989</v>
      </c>
      <c r="N80" s="62">
        <f>'8 Lav energibesparelse'!X121</f>
        <v>27.199999999999989</v>
      </c>
      <c r="O80" s="62">
        <f>'8 Lav energibesparelse'!Z121</f>
        <v>31.400000000000006</v>
      </c>
    </row>
    <row r="81" spans="2:15" x14ac:dyDescent="0.25">
      <c r="C81" t="s">
        <v>143</v>
      </c>
      <c r="D81" s="62">
        <f>'9 Median energibesparelse'!D121</f>
        <v>60.599999999999994</v>
      </c>
      <c r="E81" s="62">
        <f>'9 Median energibesparelse'!F121</f>
        <v>44.700000000000017</v>
      </c>
      <c r="F81" s="62">
        <f>'9 Median energibesparelse'!H121</f>
        <v>52.300000000000011</v>
      </c>
      <c r="G81" s="62">
        <f>'9 Median energibesparelse'!J121</f>
        <v>51.400000000000006</v>
      </c>
      <c r="H81" s="62">
        <f>'9 Median energibesparelse'!L121</f>
        <v>54.900000000000006</v>
      </c>
      <c r="I81" s="62">
        <f>'9 Median energibesparelse'!N121</f>
        <v>51.800000000000011</v>
      </c>
      <c r="J81" s="62">
        <f>'9 Median energibesparelse'!P121</f>
        <v>50.700000000000045</v>
      </c>
      <c r="K81" s="62">
        <f>'9 Median energibesparelse'!R121</f>
        <v>54.5</v>
      </c>
      <c r="L81" s="62">
        <f>'9 Median energibesparelse'!T121</f>
        <v>53.399999999999977</v>
      </c>
      <c r="M81" s="62">
        <f>'9 Median energibesparelse'!V121</f>
        <v>66.599999999999966</v>
      </c>
      <c r="N81" s="62">
        <f>'9 Median energibesparelse'!X121</f>
        <v>50.400000000000034</v>
      </c>
      <c r="O81" s="62">
        <f>'9 Median energibesparelse'!Z121</f>
        <v>52.099999999999966</v>
      </c>
    </row>
    <row r="82" spans="2:15" x14ac:dyDescent="0.25">
      <c r="C82" t="s">
        <v>4</v>
      </c>
      <c r="D82" s="62">
        <f>'10 Høy energibesparelse'!D121</f>
        <v>78.199999999999989</v>
      </c>
      <c r="E82" s="62">
        <f>'10 Høy energibesparelse'!F121</f>
        <v>59.699999999999989</v>
      </c>
      <c r="F82" s="62">
        <f>'10 Høy energibesparelse'!H121</f>
        <v>68.300000000000011</v>
      </c>
      <c r="G82" s="62">
        <f>'10 Høy energibesparelse'!J121</f>
        <v>52.5</v>
      </c>
      <c r="H82" s="62">
        <f>'10 Høy energibesparelse'!L121</f>
        <v>60.299999999999955</v>
      </c>
      <c r="I82" s="62">
        <f>'10 Høy energibesparelse'!N121</f>
        <v>55.599999999999966</v>
      </c>
      <c r="J82" s="62">
        <f>'10 Høy energibesparelse'!P121</f>
        <v>55.099999999999909</v>
      </c>
      <c r="K82" s="62">
        <f>'10 Høy energibesparelse'!R121</f>
        <v>60</v>
      </c>
      <c r="L82" s="62">
        <f>'10 Høy energibesparelse'!T121</f>
        <v>58.5</v>
      </c>
      <c r="M82" s="62">
        <f>'10 Høy energibesparelse'!V121</f>
        <v>74</v>
      </c>
      <c r="N82" s="62">
        <f>'10 Høy energibesparelse'!X121</f>
        <v>56.100000000000023</v>
      </c>
      <c r="O82" s="62">
        <f>'10 Høy energibesparelse'!Z121</f>
        <v>58.400000000000034</v>
      </c>
    </row>
    <row r="83" spans="2:15" x14ac:dyDescent="0.25">
      <c r="B83" t="s">
        <v>677</v>
      </c>
      <c r="C83" t="s">
        <v>3</v>
      </c>
      <c r="D83" s="555">
        <f>'11 Kostnader Bygg'!$R$44</f>
        <v>2041.2</v>
      </c>
      <c r="E83" s="555">
        <f>'11 Kostnader Bygg'!$R$45</f>
        <v>2041.2</v>
      </c>
      <c r="F83" s="555">
        <f>'11 Kostnader Bygg'!$R$46</f>
        <v>2041.2</v>
      </c>
      <c r="G83" s="555">
        <f>'11 Kostnader Bygg'!$R$47</f>
        <v>2041.2</v>
      </c>
      <c r="H83" s="555">
        <f>'11 Kostnader Bygg'!$R$48</f>
        <v>2041.2</v>
      </c>
      <c r="I83" s="555">
        <f>'11 Kostnader Bygg'!$R$49</f>
        <v>2041.2</v>
      </c>
      <c r="J83" s="555">
        <f>'11 Kostnader Bygg'!$R$50</f>
        <v>2041.2</v>
      </c>
      <c r="K83" s="555">
        <f>'11 Kostnader Bygg'!$R$51</f>
        <v>2041.2</v>
      </c>
      <c r="L83" s="555">
        <f>'11 Kostnader Bygg'!$R$52</f>
        <v>2041.2</v>
      </c>
      <c r="M83" s="555">
        <f>'11 Kostnader Bygg'!$R$53</f>
        <v>2041.2</v>
      </c>
      <c r="N83" s="555">
        <f>'11 Kostnader Bygg'!$R$54</f>
        <v>2041.2</v>
      </c>
      <c r="O83" s="555">
        <f>'11 Kostnader Bygg'!$R$55</f>
        <v>2041.2</v>
      </c>
    </row>
    <row r="84" spans="2:15" x14ac:dyDescent="0.25">
      <c r="C84" t="s">
        <v>143</v>
      </c>
      <c r="D84" s="555">
        <f>'11 Kostnader Bygg'!$S$44</f>
        <v>2268</v>
      </c>
      <c r="E84" s="555">
        <f>'11 Kostnader Bygg'!$S$45</f>
        <v>2268</v>
      </c>
      <c r="F84" s="555">
        <f>'11 Kostnader Bygg'!$S$46</f>
        <v>2268</v>
      </c>
      <c r="G84" s="555">
        <f>'11 Kostnader Bygg'!$S$47</f>
        <v>2268</v>
      </c>
      <c r="H84" s="555">
        <f>'11 Kostnader Bygg'!$S$48</f>
        <v>2268</v>
      </c>
      <c r="I84" s="555">
        <f>'11 Kostnader Bygg'!$S$49</f>
        <v>2268</v>
      </c>
      <c r="J84" s="555">
        <f>'11 Kostnader Bygg'!$S$50</f>
        <v>2268</v>
      </c>
      <c r="K84" s="555">
        <f>'11 Kostnader Bygg'!$S$51</f>
        <v>2268</v>
      </c>
      <c r="L84" s="555">
        <f>'11 Kostnader Bygg'!$S$52</f>
        <v>2268</v>
      </c>
      <c r="M84" s="555">
        <f>'11 Kostnader Bygg'!$S$53</f>
        <v>2268</v>
      </c>
      <c r="N84" s="555">
        <f>'11 Kostnader Bygg'!$S$54</f>
        <v>2268</v>
      </c>
      <c r="O84" s="555">
        <f>'11 Kostnader Bygg'!$S$55</f>
        <v>2268</v>
      </c>
    </row>
    <row r="85" spans="2:15" x14ac:dyDescent="0.25">
      <c r="C85" t="s">
        <v>4</v>
      </c>
      <c r="D85" s="555">
        <f>'11 Kostnader Bygg'!$T$44</f>
        <v>2676</v>
      </c>
      <c r="E85" s="555">
        <f>'11 Kostnader Bygg'!$T$45</f>
        <v>2660</v>
      </c>
      <c r="F85" s="555">
        <f>'11 Kostnader Bygg'!$T$46</f>
        <v>2660</v>
      </c>
      <c r="G85" s="555">
        <f>'11 Kostnader Bygg'!$T$47</f>
        <v>2660</v>
      </c>
      <c r="H85" s="555">
        <f>'11 Kostnader Bygg'!$T$48</f>
        <v>2660</v>
      </c>
      <c r="I85" s="555">
        <f>'11 Kostnader Bygg'!$T$49</f>
        <v>2660</v>
      </c>
      <c r="J85" s="555">
        <f>'11 Kostnader Bygg'!$T$50</f>
        <v>2660</v>
      </c>
      <c r="K85" s="555">
        <f>'11 Kostnader Bygg'!$T$51</f>
        <v>2660</v>
      </c>
      <c r="L85" s="555">
        <f>'11 Kostnader Bygg'!$T$52</f>
        <v>2660</v>
      </c>
      <c r="M85" s="555">
        <f>'11 Kostnader Bygg'!$T$53</f>
        <v>2660</v>
      </c>
      <c r="N85" s="555">
        <f>'11 Kostnader Bygg'!$T$54</f>
        <v>2660</v>
      </c>
      <c r="O85" s="555">
        <f>'11 Kostnader Bygg'!$T$55</f>
        <v>2660</v>
      </c>
    </row>
    <row r="86" spans="2:15" x14ac:dyDescent="0.25">
      <c r="B86" t="s">
        <v>678</v>
      </c>
      <c r="C86" t="s">
        <v>3</v>
      </c>
      <c r="D86">
        <v>0</v>
      </c>
      <c r="E86">
        <v>0</v>
      </c>
      <c r="F86">
        <v>0</v>
      </c>
      <c r="G86">
        <v>0</v>
      </c>
      <c r="H86">
        <v>0</v>
      </c>
      <c r="I86">
        <v>0</v>
      </c>
      <c r="J86">
        <v>0</v>
      </c>
      <c r="K86">
        <v>0</v>
      </c>
      <c r="L86">
        <v>0</v>
      </c>
      <c r="M86">
        <v>0</v>
      </c>
      <c r="N86">
        <v>0</v>
      </c>
      <c r="O86">
        <v>0</v>
      </c>
    </row>
    <row r="87" spans="2:15" x14ac:dyDescent="0.25">
      <c r="C87" t="s">
        <v>143</v>
      </c>
      <c r="D87">
        <v>0</v>
      </c>
      <c r="E87">
        <v>0</v>
      </c>
      <c r="F87">
        <v>0</v>
      </c>
      <c r="G87">
        <v>0</v>
      </c>
      <c r="H87">
        <v>0</v>
      </c>
      <c r="I87">
        <v>0</v>
      </c>
      <c r="J87">
        <v>0</v>
      </c>
      <c r="K87">
        <v>0</v>
      </c>
      <c r="L87">
        <v>0</v>
      </c>
      <c r="M87">
        <v>0</v>
      </c>
      <c r="N87">
        <v>0</v>
      </c>
      <c r="O87">
        <v>0</v>
      </c>
    </row>
    <row r="88" spans="2:15" x14ac:dyDescent="0.25">
      <c r="C88" t="s">
        <v>4</v>
      </c>
      <c r="D88">
        <v>0</v>
      </c>
      <c r="E88">
        <v>0</v>
      </c>
      <c r="F88">
        <v>0</v>
      </c>
      <c r="G88">
        <v>0</v>
      </c>
      <c r="H88">
        <v>0</v>
      </c>
      <c r="I88">
        <v>0</v>
      </c>
      <c r="J88">
        <v>0</v>
      </c>
      <c r="K88">
        <v>0</v>
      </c>
      <c r="L88">
        <v>0</v>
      </c>
      <c r="M88">
        <v>0</v>
      </c>
      <c r="N88">
        <v>0</v>
      </c>
      <c r="O88">
        <v>0</v>
      </c>
    </row>
    <row r="89" spans="2:15" x14ac:dyDescent="0.25">
      <c r="B89" t="s">
        <v>679</v>
      </c>
      <c r="C89" t="s">
        <v>3</v>
      </c>
      <c r="D89">
        <f>'15 Levetider og rente'!$E$8</f>
        <v>30</v>
      </c>
      <c r="E89">
        <f>'15 Levetider og rente'!$E$8</f>
        <v>30</v>
      </c>
      <c r="F89">
        <f>'15 Levetider og rente'!$E$8</f>
        <v>30</v>
      </c>
      <c r="G89">
        <f>'15 Levetider og rente'!$E$8</f>
        <v>30</v>
      </c>
      <c r="H89">
        <f>'15 Levetider og rente'!$E$8</f>
        <v>30</v>
      </c>
      <c r="I89">
        <f>'15 Levetider og rente'!$E$8</f>
        <v>30</v>
      </c>
      <c r="J89">
        <f>'15 Levetider og rente'!$E$8</f>
        <v>30</v>
      </c>
      <c r="K89">
        <f>'15 Levetider og rente'!$E$8</f>
        <v>30</v>
      </c>
      <c r="L89">
        <f>'15 Levetider og rente'!$E$8</f>
        <v>30</v>
      </c>
      <c r="M89">
        <f>'15 Levetider og rente'!$E$8</f>
        <v>30</v>
      </c>
      <c r="N89">
        <f>'15 Levetider og rente'!$E$8</f>
        <v>30</v>
      </c>
      <c r="O89">
        <f>'15 Levetider og rente'!$E$8</f>
        <v>30</v>
      </c>
    </row>
    <row r="90" spans="2:15" x14ac:dyDescent="0.25">
      <c r="C90" t="s">
        <v>143</v>
      </c>
      <c r="D90">
        <f>'15 Levetider og rente'!$F$8</f>
        <v>30</v>
      </c>
      <c r="E90">
        <f>'15 Levetider og rente'!$F$8</f>
        <v>30</v>
      </c>
      <c r="F90">
        <f>'15 Levetider og rente'!$F$8</f>
        <v>30</v>
      </c>
      <c r="G90">
        <f>'15 Levetider og rente'!$F$8</f>
        <v>30</v>
      </c>
      <c r="H90">
        <f>'15 Levetider og rente'!$F$8</f>
        <v>30</v>
      </c>
      <c r="I90">
        <f>'15 Levetider og rente'!$F$8</f>
        <v>30</v>
      </c>
      <c r="J90">
        <f>'15 Levetider og rente'!$F$8</f>
        <v>30</v>
      </c>
      <c r="K90">
        <f>'15 Levetider og rente'!$F$8</f>
        <v>30</v>
      </c>
      <c r="L90">
        <f>'15 Levetider og rente'!$F$8</f>
        <v>30</v>
      </c>
      <c r="M90">
        <f>'15 Levetider og rente'!$F$8</f>
        <v>30</v>
      </c>
      <c r="N90">
        <f>'15 Levetider og rente'!$F$8</f>
        <v>30</v>
      </c>
      <c r="O90">
        <f>'15 Levetider og rente'!$F$8</f>
        <v>30</v>
      </c>
    </row>
    <row r="91" spans="2:15" x14ac:dyDescent="0.25">
      <c r="C91" t="s">
        <v>4</v>
      </c>
      <c r="D91">
        <f>'15 Levetider og rente'!$G$8</f>
        <v>30</v>
      </c>
      <c r="E91">
        <f>'15 Levetider og rente'!$G$8</f>
        <v>30</v>
      </c>
      <c r="F91">
        <f>'15 Levetider og rente'!$G$8</f>
        <v>30</v>
      </c>
      <c r="G91">
        <f>'15 Levetider og rente'!$G$8</f>
        <v>30</v>
      </c>
      <c r="H91">
        <f>'15 Levetider og rente'!$G$8</f>
        <v>30</v>
      </c>
      <c r="I91">
        <f>'15 Levetider og rente'!$G$8</f>
        <v>30</v>
      </c>
      <c r="J91">
        <f>'15 Levetider og rente'!$G$8</f>
        <v>30</v>
      </c>
      <c r="K91">
        <f>'15 Levetider og rente'!$G$8</f>
        <v>30</v>
      </c>
      <c r="L91">
        <f>'15 Levetider og rente'!$G$8</f>
        <v>30</v>
      </c>
      <c r="M91">
        <f>'15 Levetider og rente'!$G$8</f>
        <v>30</v>
      </c>
      <c r="N91">
        <f>'15 Levetider og rente'!$G$8</f>
        <v>30</v>
      </c>
      <c r="O91">
        <f>'15 Levetider og rente'!$G$8</f>
        <v>30</v>
      </c>
    </row>
    <row r="92" spans="2:15" x14ac:dyDescent="0.25">
      <c r="B92" t="s">
        <v>680</v>
      </c>
      <c r="C92" t="s">
        <v>3</v>
      </c>
      <c r="D92" s="485">
        <f>'15 Levetider og rente'!$B$8</f>
        <v>0.06</v>
      </c>
      <c r="E92" s="485">
        <f>'15 Levetider og rente'!$B$8</f>
        <v>0.06</v>
      </c>
      <c r="F92" s="485">
        <f>'15 Levetider og rente'!$B$8</f>
        <v>0.06</v>
      </c>
      <c r="G92" s="485">
        <f>'15 Levetider og rente'!$B$8</f>
        <v>0.06</v>
      </c>
      <c r="H92" s="485">
        <f>'15 Levetider og rente'!$B$8</f>
        <v>0.06</v>
      </c>
      <c r="I92" s="485">
        <f>'15 Levetider og rente'!$B$8</f>
        <v>0.06</v>
      </c>
      <c r="J92" s="485">
        <f>'15 Levetider og rente'!$B$8</f>
        <v>0.06</v>
      </c>
      <c r="K92" s="485">
        <f>'15 Levetider og rente'!$B$8</f>
        <v>0.06</v>
      </c>
      <c r="L92" s="485">
        <f>'15 Levetider og rente'!$B$8</f>
        <v>0.06</v>
      </c>
      <c r="M92" s="485">
        <f>'15 Levetider og rente'!$B$8</f>
        <v>0.06</v>
      </c>
      <c r="N92" s="485">
        <f>'15 Levetider og rente'!$B$8</f>
        <v>0.06</v>
      </c>
      <c r="O92" s="485">
        <f>'15 Levetider og rente'!$B$8</f>
        <v>0.06</v>
      </c>
    </row>
    <row r="93" spans="2:15" x14ac:dyDescent="0.25">
      <c r="C93" t="s">
        <v>143</v>
      </c>
      <c r="D93" s="485">
        <f>'15 Levetider og rente'!$C$8</f>
        <v>0.06</v>
      </c>
      <c r="E93" s="485">
        <f>'15 Levetider og rente'!$C$8</f>
        <v>0.06</v>
      </c>
      <c r="F93" s="485">
        <f>'15 Levetider og rente'!$C$8</f>
        <v>0.06</v>
      </c>
      <c r="G93" s="485">
        <f>'15 Levetider og rente'!$C$8</f>
        <v>0.06</v>
      </c>
      <c r="H93" s="485">
        <f>'15 Levetider og rente'!$C$8</f>
        <v>0.06</v>
      </c>
      <c r="I93" s="485">
        <f>'15 Levetider og rente'!$C$8</f>
        <v>0.06</v>
      </c>
      <c r="J93" s="485">
        <f>'15 Levetider og rente'!$C$8</f>
        <v>0.06</v>
      </c>
      <c r="K93" s="485">
        <f>'15 Levetider og rente'!$C$8</f>
        <v>0.06</v>
      </c>
      <c r="L93" s="485">
        <f>'15 Levetider og rente'!$C$8</f>
        <v>0.06</v>
      </c>
      <c r="M93" s="485">
        <f>'15 Levetider og rente'!$C$8</f>
        <v>0.06</v>
      </c>
      <c r="N93" s="485">
        <f>'15 Levetider og rente'!$C$8</f>
        <v>0.06</v>
      </c>
      <c r="O93" s="485">
        <f>'15 Levetider og rente'!$C$8</f>
        <v>0.06</v>
      </c>
    </row>
    <row r="94" spans="2:15" x14ac:dyDescent="0.25">
      <c r="C94" t="s">
        <v>4</v>
      </c>
      <c r="D94" s="485">
        <f>'15 Levetider og rente'!$D$8</f>
        <v>0.06</v>
      </c>
      <c r="E94" s="485">
        <f>'15 Levetider og rente'!$D$8</f>
        <v>0.06</v>
      </c>
      <c r="F94" s="485">
        <f>'15 Levetider og rente'!$D$8</f>
        <v>0.06</v>
      </c>
      <c r="G94" s="485">
        <f>'15 Levetider og rente'!$D$8</f>
        <v>0.06</v>
      </c>
      <c r="H94" s="485">
        <f>'15 Levetider og rente'!$D$8</f>
        <v>0.06</v>
      </c>
      <c r="I94" s="485">
        <f>'15 Levetider og rente'!$D$8</f>
        <v>0.06</v>
      </c>
      <c r="J94" s="485">
        <f>'15 Levetider og rente'!$D$8</f>
        <v>0.06</v>
      </c>
      <c r="K94" s="485">
        <f>'15 Levetider og rente'!$D$8</f>
        <v>0.06</v>
      </c>
      <c r="L94" s="485">
        <f>'15 Levetider og rente'!$D$8</f>
        <v>0.06</v>
      </c>
      <c r="M94" s="485">
        <f>'15 Levetider og rente'!$D$8</f>
        <v>0.06</v>
      </c>
      <c r="N94" s="485">
        <f>'15 Levetider og rente'!$D$8</f>
        <v>0.06</v>
      </c>
      <c r="O94" s="485">
        <f>'15 Levetider og rente'!$D$8</f>
        <v>0.06</v>
      </c>
    </row>
    <row r="95" spans="2:15" x14ac:dyDescent="0.25">
      <c r="B95" t="s">
        <v>753</v>
      </c>
      <c r="C95" t="s">
        <v>3</v>
      </c>
      <c r="D95" s="564">
        <f t="shared" ref="D95:O95" si="25">(D83-PV(D92,D91,D86))/-PV(D92,D91,D82)</f>
        <v>1.8963038124486491</v>
      </c>
      <c r="E95" s="564">
        <f t="shared" si="25"/>
        <v>2.4839356471270415</v>
      </c>
      <c r="F95" s="564">
        <f t="shared" si="25"/>
        <v>2.1711706900949386</v>
      </c>
      <c r="G95" s="564">
        <f>(G83-PV(G92,G91,G86))/-PV(G92,G91,G82)</f>
        <v>2.8245896787330347</v>
      </c>
      <c r="H95" s="564">
        <f t="shared" si="25"/>
        <v>2.4592198695436891</v>
      </c>
      <c r="I95" s="564">
        <f t="shared" si="25"/>
        <v>2.6671035635518776</v>
      </c>
      <c r="J95" s="564">
        <f t="shared" si="25"/>
        <v>2.6913059552356544</v>
      </c>
      <c r="K95" s="564">
        <f t="shared" si="25"/>
        <v>2.4715159688914055</v>
      </c>
      <c r="L95" s="564">
        <f t="shared" si="25"/>
        <v>2.5348881732219546</v>
      </c>
      <c r="M95" s="564">
        <f t="shared" si="25"/>
        <v>2.0039318666687072</v>
      </c>
      <c r="N95" s="564">
        <f t="shared" si="25"/>
        <v>2.6433325870496307</v>
      </c>
      <c r="O95" s="564">
        <f t="shared" si="25"/>
        <v>2.5392287351624012</v>
      </c>
    </row>
    <row r="96" spans="2:15" x14ac:dyDescent="0.25">
      <c r="C96" t="s">
        <v>143</v>
      </c>
      <c r="D96" s="564">
        <f t="shared" ref="D96:O96" si="26">(D84-PV(D93,D90,D87))/-PV(D93,D90,D81)</f>
        <v>2.7189394597265188</v>
      </c>
      <c r="E96" s="564">
        <f t="shared" si="26"/>
        <v>3.6860789990923259</v>
      </c>
      <c r="F96" s="564">
        <f t="shared" si="26"/>
        <v>3.1504346321114145</v>
      </c>
      <c r="G96" s="564">
        <f>(G84-PV(G93,G90,G87))/-PV(G93,G90,G81)</f>
        <v>3.20559788442465</v>
      </c>
      <c r="H96" s="564">
        <f t="shared" si="26"/>
        <v>3.0012337205724409</v>
      </c>
      <c r="I96" s="564">
        <f t="shared" si="26"/>
        <v>3.1808442328074711</v>
      </c>
      <c r="J96" s="564">
        <f t="shared" si="26"/>
        <v>3.249856632335836</v>
      </c>
      <c r="K96" s="564">
        <f t="shared" si="26"/>
        <v>3.0232611240261842</v>
      </c>
      <c r="L96" s="564">
        <f t="shared" si="26"/>
        <v>3.0855380385660505</v>
      </c>
      <c r="M96" s="564">
        <f t="shared" si="26"/>
        <v>2.473989958850257</v>
      </c>
      <c r="N96" s="564">
        <f t="shared" si="26"/>
        <v>3.2692010170521217</v>
      </c>
      <c r="O96" s="564">
        <f t="shared" si="26"/>
        <v>3.162528431083055</v>
      </c>
    </row>
    <row r="97" spans="1:15" x14ac:dyDescent="0.25">
      <c r="C97" t="s">
        <v>4</v>
      </c>
      <c r="D97" s="564">
        <f t="shared" ref="D97:O97" si="27">(D85-PV(D94,D89,D88))/-PV(D94,D89,D80)</f>
        <v>5.3556057065390181</v>
      </c>
      <c r="E97" s="564">
        <f t="shared" si="27"/>
        <v>7.0786118887738256</v>
      </c>
      <c r="F97" s="564">
        <f t="shared" si="27"/>
        <v>6.038940767610173</v>
      </c>
      <c r="G97" s="564">
        <f t="shared" si="27"/>
        <v>7.6381859511274959</v>
      </c>
      <c r="H97" s="564">
        <f t="shared" si="27"/>
        <v>6.2137011113673815</v>
      </c>
      <c r="I97" s="564">
        <f t="shared" si="27"/>
        <v>7.2376818188586372</v>
      </c>
      <c r="J97" s="564">
        <f t="shared" si="27"/>
        <v>6.9263836761120308</v>
      </c>
      <c r="K97" s="564">
        <f t="shared" si="27"/>
        <v>5.7685404347321061</v>
      </c>
      <c r="L97" s="564">
        <f t="shared" si="27"/>
        <v>5.6837089577507509</v>
      </c>
      <c r="M97" s="564">
        <f t="shared" si="27"/>
        <v>3.8882516008757659</v>
      </c>
      <c r="N97" s="564">
        <f t="shared" si="27"/>
        <v>7.1046361971884409</v>
      </c>
      <c r="O97" s="564">
        <f t="shared" si="27"/>
        <v>6.154334540239665</v>
      </c>
    </row>
    <row r="99" spans="1:15" x14ac:dyDescent="0.25">
      <c r="A99" t="s">
        <v>1050</v>
      </c>
      <c r="B99" t="s">
        <v>676</v>
      </c>
      <c r="C99" t="s">
        <v>3</v>
      </c>
      <c r="D99" s="633">
        <f>'9 Median energibesparelse'!D148</f>
        <v>12.200000000000017</v>
      </c>
      <c r="E99" s="633">
        <f>'9 Median energibesparelse'!F148</f>
        <v>31.900000000000006</v>
      </c>
      <c r="F99" s="62">
        <f>'8 Lav energibesparelse'!H148</f>
        <v>6</v>
      </c>
      <c r="G99" s="62">
        <f>'8 Lav energibesparelse'!J148</f>
        <v>6.0999999999999943</v>
      </c>
      <c r="H99" s="62">
        <f>'8 Lav energibesparelse'!L148</f>
        <v>7.5999999999999943</v>
      </c>
      <c r="I99" s="62">
        <f>'8 Lav energibesparelse'!N148</f>
        <v>8</v>
      </c>
      <c r="J99" s="62">
        <f>'8 Lav energibesparelse'!P148</f>
        <v>20.699999999999989</v>
      </c>
      <c r="K99" s="62">
        <f>'8 Lav energibesparelse'!R148</f>
        <v>19.199999999999989</v>
      </c>
      <c r="L99" s="62">
        <f>'8 Lav energibesparelse'!T148</f>
        <v>11</v>
      </c>
      <c r="M99" s="62">
        <f>'8 Lav energibesparelse'!V148</f>
        <v>10.5</v>
      </c>
      <c r="N99" s="62">
        <f>'8 Lav energibesparelse'!X148</f>
        <v>13.099999999999994</v>
      </c>
      <c r="O99" s="62">
        <f>'8 Lav energibesparelse'!Z148</f>
        <v>6</v>
      </c>
    </row>
    <row r="100" spans="1:15" x14ac:dyDescent="0.25">
      <c r="C100" t="s">
        <v>143</v>
      </c>
      <c r="D100" s="633">
        <f>'10 Høy energibesparelse'!D148</f>
        <v>14.800000000000011</v>
      </c>
      <c r="E100" s="633">
        <f>'8 Lav energibesparelse'!F148</f>
        <v>37.300000000000011</v>
      </c>
      <c r="F100" s="62">
        <f>'9 Median energibesparelse'!H148</f>
        <v>26.800000000000011</v>
      </c>
      <c r="G100" s="62">
        <f>'9 Median energibesparelse'!J148</f>
        <v>26.400000000000006</v>
      </c>
      <c r="H100" s="62">
        <f>'9 Median energibesparelse'!L148</f>
        <v>34.199999999999989</v>
      </c>
      <c r="I100" s="62">
        <f>'9 Median energibesparelse'!N148</f>
        <v>34.400000000000034</v>
      </c>
      <c r="J100" s="62">
        <f>'9 Median energibesparelse'!P148</f>
        <v>84.800000000000068</v>
      </c>
      <c r="K100" s="62">
        <f>'9 Median energibesparelse'!R148</f>
        <v>76.899999999999977</v>
      </c>
      <c r="L100" s="62">
        <f>'9 Median energibesparelse'!T148</f>
        <v>48.699999999999989</v>
      </c>
      <c r="M100" s="62">
        <f>'9 Median energibesparelse'!V148</f>
        <v>31.599999999999966</v>
      </c>
      <c r="N100" s="62">
        <f>'9 Median energibesparelse'!X148</f>
        <v>60.400000000000034</v>
      </c>
      <c r="O100" s="62">
        <f>'9 Median energibesparelse'!Z148</f>
        <v>28</v>
      </c>
    </row>
    <row r="101" spans="1:15" x14ac:dyDescent="0.25">
      <c r="C101" t="s">
        <v>4</v>
      </c>
      <c r="D101" s="633">
        <f>'8 Lav energibesparelse'!D148</f>
        <v>18.099999999999994</v>
      </c>
      <c r="E101" s="633">
        <f>'10 Høy energibesparelse'!F148</f>
        <v>40</v>
      </c>
      <c r="F101" s="62">
        <f>'10 Høy energibesparelse'!H148</f>
        <v>65</v>
      </c>
      <c r="G101" s="62">
        <f>'10 Høy energibesparelse'!J148</f>
        <v>56.300000000000011</v>
      </c>
      <c r="H101" s="62">
        <f>'10 Høy energibesparelse'!L148</f>
        <v>80.899999999999977</v>
      </c>
      <c r="I101" s="62">
        <f>'10 Høy energibesparelse'!N148</f>
        <v>73.300000000000011</v>
      </c>
      <c r="J101" s="62">
        <f>'10 Høy energibesparelse'!P148</f>
        <v>168</v>
      </c>
      <c r="K101" s="62">
        <f>'10 Høy energibesparelse'!R148</f>
        <v>168.2</v>
      </c>
      <c r="L101" s="62">
        <f>'10 Høy energibesparelse'!T148</f>
        <v>99.600000000000023</v>
      </c>
      <c r="M101" s="62">
        <f>'10 Høy energibesparelse'!V148</f>
        <v>70.100000000000023</v>
      </c>
      <c r="N101" s="62">
        <f>'10 Høy energibesparelse'!X148</f>
        <v>132.29999999999995</v>
      </c>
      <c r="O101" s="62">
        <f>'10 Høy energibesparelse'!Z148</f>
        <v>62.200000000000045</v>
      </c>
    </row>
    <row r="102" spans="1:15" x14ac:dyDescent="0.25">
      <c r="B102" t="s">
        <v>677</v>
      </c>
      <c r="C102" t="s">
        <v>3</v>
      </c>
      <c r="D102" s="555">
        <f>'12 Kostnader VVS'!$C$39</f>
        <v>494.91683759663198</v>
      </c>
      <c r="E102" s="555">
        <f>'12 Kostnader VVS'!$C$40</f>
        <v>507.63666286196599</v>
      </c>
      <c r="F102" s="555">
        <f>'12 Kostnader VVS'!$C$41</f>
        <v>89.948869999999999</v>
      </c>
      <c r="G102" s="555">
        <f>'12 Kostnader VVS'!$C$42</f>
        <v>89.948869999999999</v>
      </c>
      <c r="H102" s="555">
        <f>'12 Kostnader VVS'!$C$43</f>
        <v>89.948869999999999</v>
      </c>
      <c r="I102" s="555">
        <f>'12 Kostnader VVS'!$C$44</f>
        <v>89.948869999999999</v>
      </c>
      <c r="J102" s="555">
        <f>'12 Kostnader VVS'!$C$45</f>
        <v>89.948869999999999</v>
      </c>
      <c r="K102" s="555">
        <f>'12 Kostnader VVS'!$C$46</f>
        <v>89.948869999999999</v>
      </c>
      <c r="L102" s="555">
        <f>'12 Kostnader VVS'!$C$47</f>
        <v>89.948869999999999</v>
      </c>
      <c r="M102" s="555">
        <f>'12 Kostnader VVS'!$C$48</f>
        <v>89.948869999999999</v>
      </c>
      <c r="N102" s="555">
        <f>'12 Kostnader VVS'!$C$49</f>
        <v>89.948869999999999</v>
      </c>
      <c r="O102" s="555">
        <f>'12 Kostnader VVS'!$C$50</f>
        <v>89.948869999999999</v>
      </c>
    </row>
    <row r="103" spans="1:15" x14ac:dyDescent="0.25">
      <c r="C103" t="s">
        <v>143</v>
      </c>
      <c r="D103" s="555">
        <f>'12 Kostnader VVS'!$D$39</f>
        <v>522.59613879831602</v>
      </c>
      <c r="E103" s="555">
        <f>'12 Kostnader VVS'!$D$40</f>
        <v>536.02734797303901</v>
      </c>
      <c r="F103" s="555">
        <f>'12 Kostnader VVS'!$D$41</f>
        <v>201.06218000000001</v>
      </c>
      <c r="G103" s="555">
        <f>'12 Kostnader VVS'!$D$42</f>
        <v>201.06218000000001</v>
      </c>
      <c r="H103" s="555">
        <f>'12 Kostnader VVS'!$D$43</f>
        <v>201.06218000000001</v>
      </c>
      <c r="I103" s="555">
        <f>'12 Kostnader VVS'!$D$44</f>
        <v>201.06218000000001</v>
      </c>
      <c r="J103" s="555">
        <f>'12 Kostnader VVS'!$D$45</f>
        <v>201.06218000000001</v>
      </c>
      <c r="K103" s="555">
        <f>'12 Kostnader VVS'!$D$46</f>
        <v>201.06218000000001</v>
      </c>
      <c r="L103" s="555">
        <f>'12 Kostnader VVS'!$D$47</f>
        <v>201.06218000000001</v>
      </c>
      <c r="M103" s="555">
        <f>'12 Kostnader VVS'!$D$48</f>
        <v>201.06218000000001</v>
      </c>
      <c r="N103" s="555">
        <f>'12 Kostnader VVS'!$D$49</f>
        <v>201.06218000000001</v>
      </c>
      <c r="O103" s="555">
        <f>'12 Kostnader VVS'!$D$50</f>
        <v>201.06218000000001</v>
      </c>
    </row>
    <row r="104" spans="1:15" x14ac:dyDescent="0.25">
      <c r="C104" t="s">
        <v>4</v>
      </c>
      <c r="D104" s="555">
        <f>'12 Kostnader VVS'!$E$39</f>
        <v>550.27544</v>
      </c>
      <c r="E104" s="555">
        <f>'12 Kostnader VVS'!$E$40</f>
        <v>564.41803308411215</v>
      </c>
      <c r="F104" s="555">
        <f>'12 Kostnader VVS'!$E$41</f>
        <v>377.78525400000001</v>
      </c>
      <c r="G104" s="555">
        <f>'12 Kostnader VVS'!$E$42</f>
        <v>377.78525400000001</v>
      </c>
      <c r="H104" s="555">
        <f>'12 Kostnader VVS'!$E$43</f>
        <v>377.78525400000001</v>
      </c>
      <c r="I104" s="555">
        <f>'12 Kostnader VVS'!$E$44</f>
        <v>377.78525400000001</v>
      </c>
      <c r="J104" s="555">
        <f>'12 Kostnader VVS'!$E$45</f>
        <v>377.78525400000001</v>
      </c>
      <c r="K104" s="555">
        <f>'12 Kostnader VVS'!$E$46</f>
        <v>377.78525400000001</v>
      </c>
      <c r="L104" s="555">
        <f>'12 Kostnader VVS'!$E$47</f>
        <v>377.78525400000001</v>
      </c>
      <c r="M104" s="555">
        <f>'12 Kostnader VVS'!$E$48</f>
        <v>377.78525400000001</v>
      </c>
      <c r="N104" s="555">
        <f>'12 Kostnader VVS'!$E$49</f>
        <v>377.78525400000001</v>
      </c>
      <c r="O104" s="555">
        <f>'12 Kostnader VVS'!$E$50</f>
        <v>377.78525400000001</v>
      </c>
    </row>
    <row r="105" spans="1:15" x14ac:dyDescent="0.25">
      <c r="B105" t="s">
        <v>678</v>
      </c>
      <c r="C105" t="s">
        <v>3</v>
      </c>
      <c r="D105" s="561">
        <f>'12 Kostnader VVS'!I52</f>
        <v>3.3069437499999998</v>
      </c>
      <c r="E105" s="561">
        <f>'12 Kostnader VVS'!I53</f>
        <v>5.8790111111111107</v>
      </c>
      <c r="F105">
        <v>0</v>
      </c>
      <c r="G105">
        <v>0</v>
      </c>
      <c r="H105">
        <v>0</v>
      </c>
      <c r="I105">
        <v>0</v>
      </c>
      <c r="J105">
        <v>0</v>
      </c>
      <c r="K105">
        <v>0</v>
      </c>
      <c r="L105">
        <v>0</v>
      </c>
      <c r="M105">
        <v>0</v>
      </c>
      <c r="N105">
        <v>0</v>
      </c>
      <c r="O105">
        <v>0</v>
      </c>
    </row>
    <row r="106" spans="1:15" x14ac:dyDescent="0.25">
      <c r="C106" t="s">
        <v>143</v>
      </c>
      <c r="D106" s="561">
        <f>'12 Kostnader VVS'!J52</f>
        <v>4.9604156250000004</v>
      </c>
      <c r="E106" s="561">
        <f>'12 Kostnader VVS'!J53</f>
        <v>9.9943188888888894</v>
      </c>
      <c r="F106">
        <v>0</v>
      </c>
      <c r="G106">
        <v>0</v>
      </c>
      <c r="H106">
        <v>0</v>
      </c>
      <c r="I106">
        <v>0</v>
      </c>
      <c r="J106">
        <v>0</v>
      </c>
      <c r="K106">
        <v>0</v>
      </c>
      <c r="L106">
        <v>0</v>
      </c>
      <c r="M106">
        <v>0</v>
      </c>
      <c r="N106">
        <v>0</v>
      </c>
      <c r="O106">
        <v>0</v>
      </c>
    </row>
    <row r="107" spans="1:15" x14ac:dyDescent="0.25">
      <c r="C107" t="s">
        <v>4</v>
      </c>
      <c r="D107" s="561">
        <f>'12 Kostnader VVS'!K52</f>
        <v>6.6138875000000006</v>
      </c>
      <c r="E107" s="561">
        <f>'12 Kostnader VVS'!K53</f>
        <v>14.109626666666667</v>
      </c>
      <c r="F107">
        <v>0</v>
      </c>
      <c r="G107">
        <v>0</v>
      </c>
      <c r="H107">
        <v>0</v>
      </c>
      <c r="I107">
        <v>0</v>
      </c>
      <c r="J107">
        <v>0</v>
      </c>
      <c r="K107">
        <v>0</v>
      </c>
      <c r="L107">
        <v>0</v>
      </c>
      <c r="M107">
        <v>0</v>
      </c>
      <c r="N107">
        <v>0</v>
      </c>
      <c r="O107">
        <v>0</v>
      </c>
    </row>
    <row r="108" spans="1:15" x14ac:dyDescent="0.25">
      <c r="B108" t="s">
        <v>679</v>
      </c>
      <c r="C108" t="s">
        <v>3</v>
      </c>
      <c r="D108">
        <f>'15 Levetider og rente'!$E$9</f>
        <v>20</v>
      </c>
      <c r="E108">
        <f>'15 Levetider og rente'!$E$9</f>
        <v>20</v>
      </c>
      <c r="F108">
        <f>'15 Levetider og rente'!$E$9</f>
        <v>20</v>
      </c>
      <c r="G108">
        <f>'15 Levetider og rente'!$E$9</f>
        <v>20</v>
      </c>
      <c r="H108">
        <f>'15 Levetider og rente'!$E$9</f>
        <v>20</v>
      </c>
      <c r="I108">
        <f>'15 Levetider og rente'!$E$9</f>
        <v>20</v>
      </c>
      <c r="J108">
        <f>'15 Levetider og rente'!$E$9</f>
        <v>20</v>
      </c>
      <c r="K108">
        <f>'15 Levetider og rente'!$E$9</f>
        <v>20</v>
      </c>
      <c r="L108">
        <f>'15 Levetider og rente'!$E$9</f>
        <v>20</v>
      </c>
      <c r="M108">
        <f>'15 Levetider og rente'!$E$9</f>
        <v>20</v>
      </c>
      <c r="N108">
        <f>'15 Levetider og rente'!$E$9</f>
        <v>20</v>
      </c>
      <c r="O108">
        <f>'15 Levetider og rente'!$E$9</f>
        <v>20</v>
      </c>
    </row>
    <row r="109" spans="1:15" x14ac:dyDescent="0.25">
      <c r="C109" t="s">
        <v>143</v>
      </c>
      <c r="D109" s="555">
        <f>'15 Levetider og rente'!$F$9</f>
        <v>20</v>
      </c>
      <c r="E109" s="555">
        <f>'15 Levetider og rente'!$F$9</f>
        <v>20</v>
      </c>
      <c r="F109" s="555">
        <f>'15 Levetider og rente'!$F$9</f>
        <v>20</v>
      </c>
      <c r="G109" s="555">
        <f>'15 Levetider og rente'!$F$9</f>
        <v>20</v>
      </c>
      <c r="H109" s="555">
        <f>'15 Levetider og rente'!$F$9</f>
        <v>20</v>
      </c>
      <c r="I109" s="555">
        <f>'15 Levetider og rente'!$F$9</f>
        <v>20</v>
      </c>
      <c r="J109" s="555">
        <f>'15 Levetider og rente'!$F$9</f>
        <v>20</v>
      </c>
      <c r="K109" s="555">
        <f>'15 Levetider og rente'!$F$9</f>
        <v>20</v>
      </c>
      <c r="L109" s="555">
        <f>'15 Levetider og rente'!$F$9</f>
        <v>20</v>
      </c>
      <c r="M109" s="555">
        <f>'15 Levetider og rente'!$F$9</f>
        <v>20</v>
      </c>
      <c r="N109" s="555">
        <f>'15 Levetider og rente'!$F$9</f>
        <v>20</v>
      </c>
      <c r="O109" s="555">
        <f>'15 Levetider og rente'!$F$9</f>
        <v>20</v>
      </c>
    </row>
    <row r="110" spans="1:15" x14ac:dyDescent="0.25">
      <c r="C110" t="s">
        <v>4</v>
      </c>
      <c r="D110">
        <f>'15 Levetider og rente'!$G$9</f>
        <v>20</v>
      </c>
      <c r="E110">
        <f>'15 Levetider og rente'!$G$9</f>
        <v>20</v>
      </c>
      <c r="F110">
        <f>'15 Levetider og rente'!$G$9</f>
        <v>20</v>
      </c>
      <c r="G110">
        <f>'15 Levetider og rente'!$G$9</f>
        <v>20</v>
      </c>
      <c r="H110">
        <f>'15 Levetider og rente'!$G$9</f>
        <v>20</v>
      </c>
      <c r="I110">
        <f>'15 Levetider og rente'!$G$9</f>
        <v>20</v>
      </c>
      <c r="J110">
        <f>'15 Levetider og rente'!$G$9</f>
        <v>20</v>
      </c>
      <c r="K110">
        <f>'15 Levetider og rente'!$G$9</f>
        <v>20</v>
      </c>
      <c r="L110">
        <f>'15 Levetider og rente'!$G$9</f>
        <v>20</v>
      </c>
      <c r="M110">
        <f>'15 Levetider og rente'!$G$9</f>
        <v>20</v>
      </c>
      <c r="N110">
        <f>'15 Levetider og rente'!$G$9</f>
        <v>20</v>
      </c>
      <c r="O110">
        <f>'15 Levetider og rente'!$G$9</f>
        <v>20</v>
      </c>
    </row>
    <row r="111" spans="1:15" x14ac:dyDescent="0.25">
      <c r="B111" t="s">
        <v>680</v>
      </c>
      <c r="C111" t="s">
        <v>3</v>
      </c>
      <c r="D111" s="485">
        <f>'15 Levetider og rente'!$B$9</f>
        <v>0.06</v>
      </c>
      <c r="E111" s="485">
        <f>'15 Levetider og rente'!$B$9</f>
        <v>0.06</v>
      </c>
      <c r="F111" s="485">
        <f>'15 Levetider og rente'!$B$9</f>
        <v>0.06</v>
      </c>
      <c r="G111" s="485">
        <f>'15 Levetider og rente'!$B$9</f>
        <v>0.06</v>
      </c>
      <c r="H111" s="485">
        <f>'15 Levetider og rente'!$B$9</f>
        <v>0.06</v>
      </c>
      <c r="I111" s="485">
        <f>'15 Levetider og rente'!$B$9</f>
        <v>0.06</v>
      </c>
      <c r="J111" s="485">
        <f>'15 Levetider og rente'!$B$9</f>
        <v>0.06</v>
      </c>
      <c r="K111" s="485">
        <f>'15 Levetider og rente'!$B$9</f>
        <v>0.06</v>
      </c>
      <c r="L111" s="485">
        <f>'15 Levetider og rente'!$B$9</f>
        <v>0.06</v>
      </c>
      <c r="M111" s="485">
        <f>'15 Levetider og rente'!$B$9</f>
        <v>0.06</v>
      </c>
      <c r="N111" s="485">
        <f>'15 Levetider og rente'!$B$9</f>
        <v>0.06</v>
      </c>
      <c r="O111" s="485">
        <f>'15 Levetider og rente'!$B$9</f>
        <v>0.06</v>
      </c>
    </row>
    <row r="112" spans="1:15" x14ac:dyDescent="0.25">
      <c r="C112" t="s">
        <v>143</v>
      </c>
      <c r="D112" s="485">
        <f>'15 Levetider og rente'!$C$9</f>
        <v>0.06</v>
      </c>
      <c r="E112" s="485">
        <f>'15 Levetider og rente'!$C$9</f>
        <v>0.06</v>
      </c>
      <c r="F112" s="485">
        <f>'15 Levetider og rente'!$C$9</f>
        <v>0.06</v>
      </c>
      <c r="G112" s="485">
        <f>'15 Levetider og rente'!$C$9</f>
        <v>0.06</v>
      </c>
      <c r="H112" s="485">
        <f>'15 Levetider og rente'!$C$9</f>
        <v>0.06</v>
      </c>
      <c r="I112" s="485">
        <f>'15 Levetider og rente'!$C$9</f>
        <v>0.06</v>
      </c>
      <c r="J112" s="485">
        <f>'15 Levetider og rente'!$C$9</f>
        <v>0.06</v>
      </c>
      <c r="K112" s="485">
        <f>'15 Levetider og rente'!$C$9</f>
        <v>0.06</v>
      </c>
      <c r="L112" s="485">
        <f>'15 Levetider og rente'!$C$9</f>
        <v>0.06</v>
      </c>
      <c r="M112" s="485">
        <f>'15 Levetider og rente'!$C$9</f>
        <v>0.06</v>
      </c>
      <c r="N112" s="485">
        <f>'15 Levetider og rente'!$C$9</f>
        <v>0.06</v>
      </c>
      <c r="O112" s="485">
        <f>'15 Levetider og rente'!$C$9</f>
        <v>0.06</v>
      </c>
    </row>
    <row r="113" spans="1:15" x14ac:dyDescent="0.25">
      <c r="C113" t="s">
        <v>4</v>
      </c>
      <c r="D113" s="485">
        <f>'15 Levetider og rente'!$D$9</f>
        <v>0.06</v>
      </c>
      <c r="E113" s="485">
        <f>'15 Levetider og rente'!$D$9</f>
        <v>0.06</v>
      </c>
      <c r="F113" s="485">
        <f>'15 Levetider og rente'!$D$9</f>
        <v>0.06</v>
      </c>
      <c r="G113" s="485">
        <f>'15 Levetider og rente'!$D$9</f>
        <v>0.06</v>
      </c>
      <c r="H113" s="485">
        <f>'15 Levetider og rente'!$D$9</f>
        <v>0.06</v>
      </c>
      <c r="I113" s="485">
        <f>'15 Levetider og rente'!$D$9</f>
        <v>0.06</v>
      </c>
      <c r="J113" s="485">
        <f>'15 Levetider og rente'!$D$9</f>
        <v>0.06</v>
      </c>
      <c r="K113" s="485">
        <f>'15 Levetider og rente'!$D$9</f>
        <v>0.06</v>
      </c>
      <c r="L113" s="485">
        <f>'15 Levetider og rente'!$D$9</f>
        <v>0.06</v>
      </c>
      <c r="M113" s="485">
        <f>'15 Levetider og rente'!$D$9</f>
        <v>0.06</v>
      </c>
      <c r="N113" s="485">
        <f>'15 Levetider og rente'!$D$9</f>
        <v>0.06</v>
      </c>
      <c r="O113" s="485">
        <f>'15 Levetider og rente'!$D$9</f>
        <v>0.06</v>
      </c>
    </row>
    <row r="114" spans="1:15" x14ac:dyDescent="0.25">
      <c r="B114" t="s">
        <v>753</v>
      </c>
      <c r="C114" t="s">
        <v>3</v>
      </c>
      <c r="D114" s="564">
        <f>(D102-PV(D111,D110,D105))/-PV(D111,D110,D101)</f>
        <v>2.5666325401241261</v>
      </c>
      <c r="E114" s="564">
        <f>(E102-PV(E111,E110,E105))/-PV(E111,E110,E101)</f>
        <v>1.2534272166984721</v>
      </c>
      <c r="F114" s="564">
        <f t="shared" ref="F114:O114" si="28">(F102-PV(F111,F110,F105))/-PV(F111,F110,F101)</f>
        <v>0.12064849817720615</v>
      </c>
      <c r="G114" s="564">
        <f>(G102-PV(G111,G110,G105))/-PV(G111,G110,G101)</f>
        <v>0.13929222702519356</v>
      </c>
      <c r="H114" s="564">
        <f t="shared" si="28"/>
        <v>9.6936370599733021E-2</v>
      </c>
      <c r="I114" s="564">
        <f t="shared" si="28"/>
        <v>0.10698707205345701</v>
      </c>
      <c r="J114" s="644">
        <f>(J102-PV(J111,J110,J105))/-PV(J111,J110,J101)</f>
        <v>4.6679478461419045E-2</v>
      </c>
      <c r="K114" s="644">
        <f t="shared" si="28"/>
        <v>4.6623973730787159E-2</v>
      </c>
      <c r="L114" s="564">
        <f t="shared" si="28"/>
        <v>7.8736469693959824E-2</v>
      </c>
      <c r="M114" s="564">
        <f t="shared" si="28"/>
        <v>0.11187093268927811</v>
      </c>
      <c r="N114" s="564">
        <f>(N102-PV(N111,N110,N105))/-PV(N111,N110,N101)</f>
        <v>5.9275528204976585E-2</v>
      </c>
      <c r="O114" s="564">
        <f t="shared" si="28"/>
        <v>0.12607962028164621</v>
      </c>
    </row>
    <row r="115" spans="1:15" x14ac:dyDescent="0.25">
      <c r="C115" t="s">
        <v>143</v>
      </c>
      <c r="D115" s="564">
        <f>(D103-PV(D112,D109,D106))/-PV(D112,D109,D100)</f>
        <v>3.4136978691854249</v>
      </c>
      <c r="E115" s="564">
        <f t="shared" ref="E115:O115" si="29">(E103-PV(E112,E109,E106))/-PV(E112,E109,E100)</f>
        <v>1.5208478753188963</v>
      </c>
      <c r="F115" s="564">
        <f t="shared" si="29"/>
        <v>0.65408645851119207</v>
      </c>
      <c r="G115" s="564">
        <f>(G103-PV(G112,G109,G106))/-PV(G112,G109,G100)</f>
        <v>0.66399685939772524</v>
      </c>
      <c r="H115" s="564">
        <f t="shared" si="29"/>
        <v>0.51255897918420934</v>
      </c>
      <c r="I115" s="564">
        <f t="shared" si="29"/>
        <v>0.5095789851191842</v>
      </c>
      <c r="J115" s="564">
        <f>(J103-PV(J112,J109,J106))/-PV(J112,J109,J100)</f>
        <v>0.20671600339740492</v>
      </c>
      <c r="K115" s="564">
        <f t="shared" si="29"/>
        <v>0.22795210777763275</v>
      </c>
      <c r="L115" s="564">
        <f t="shared" si="29"/>
        <v>0.35994901618275066</v>
      </c>
      <c r="M115" s="564">
        <f t="shared" si="29"/>
        <v>0.55473155342088509</v>
      </c>
      <c r="N115" s="564">
        <f t="shared" si="29"/>
        <v>0.2902237928493368</v>
      </c>
      <c r="O115" s="564">
        <f t="shared" si="29"/>
        <v>0.62605418171785554</v>
      </c>
    </row>
    <row r="116" spans="1:15" x14ac:dyDescent="0.25">
      <c r="C116" t="s">
        <v>4</v>
      </c>
      <c r="D116" s="564">
        <f>(D104-PV(D113,D108,D107))/-PV(D113,D108,D99)</f>
        <v>4.4745416353804837</v>
      </c>
      <c r="E116" s="564">
        <f t="shared" ref="E116:O116" si="30">(E104-PV(E113,E108,E107))/-PV(E113,E108,E99)</f>
        <v>1.9848953865470478</v>
      </c>
      <c r="F116" s="564">
        <f t="shared" si="30"/>
        <v>5.4895066670628792</v>
      </c>
      <c r="G116" s="564">
        <f>(G104-PV(G113,G108,G107))/-PV(G113,G108,G99)</f>
        <v>5.3995147544880835</v>
      </c>
      <c r="H116" s="564">
        <f t="shared" si="30"/>
        <v>4.3338210529443826</v>
      </c>
      <c r="I116" s="564">
        <f t="shared" si="30"/>
        <v>4.11713000029716</v>
      </c>
      <c r="J116" s="564">
        <f>(J104-PV(J113,J108,J107))/-PV(J113,J108,J99)</f>
        <v>1.5911613527718502</v>
      </c>
      <c r="K116" s="564">
        <f t="shared" si="30"/>
        <v>1.7154708334571509</v>
      </c>
      <c r="L116" s="564">
        <f t="shared" si="30"/>
        <v>2.9942763638524799</v>
      </c>
      <c r="M116" s="564">
        <f t="shared" si="30"/>
        <v>3.1368609526073601</v>
      </c>
      <c r="N116" s="564">
        <f t="shared" si="30"/>
        <v>2.5142778627768925</v>
      </c>
      <c r="O116" s="564">
        <f t="shared" si="30"/>
        <v>5.4895066670628792</v>
      </c>
    </row>
    <row r="118" spans="1:15" x14ac:dyDescent="0.25">
      <c r="A118" t="s">
        <v>889</v>
      </c>
      <c r="B118" t="s">
        <v>676</v>
      </c>
      <c r="C118" t="s">
        <v>3</v>
      </c>
      <c r="D118" s="591">
        <f>'8 Lav energibesparelse'!D173</f>
        <v>0</v>
      </c>
      <c r="E118" s="591">
        <f>'8 Lav energibesparelse'!F173</f>
        <v>0</v>
      </c>
      <c r="F118" s="62">
        <f>'8 Lav energibesparelse'!H173</f>
        <v>4.8000000000000114</v>
      </c>
      <c r="G118" s="62">
        <f>'8 Lav energibesparelse'!J173</f>
        <v>5.2999999999999829</v>
      </c>
      <c r="H118" s="62">
        <f>'8 Lav energibesparelse'!L173</f>
        <v>5.0999999999999943</v>
      </c>
      <c r="I118" s="62">
        <f>'8 Lav energibesparelse'!N173</f>
        <v>6.7999999999999829</v>
      </c>
      <c r="J118" s="62">
        <f>'8 Lav energibesparelse'!P173</f>
        <v>16.199999999999989</v>
      </c>
      <c r="K118" s="62">
        <f>'8 Lav energibesparelse'!R173</f>
        <v>13</v>
      </c>
      <c r="L118" s="62">
        <f>'8 Lav energibesparelse'!T173</f>
        <v>9.8000000000000114</v>
      </c>
      <c r="M118" s="62">
        <f>'8 Lav energibesparelse'!V173</f>
        <v>3.8999999999999773</v>
      </c>
      <c r="N118" s="62">
        <f>'8 Lav energibesparelse'!X173</f>
        <v>12.899999999999977</v>
      </c>
      <c r="O118" s="62">
        <f>'8 Lav energibesparelse'!Z173</f>
        <v>6</v>
      </c>
    </row>
    <row r="119" spans="1:15" x14ac:dyDescent="0.25">
      <c r="C119" t="s">
        <v>143</v>
      </c>
      <c r="D119" s="591">
        <f>'9 Median energibesparelse'!D173</f>
        <v>0</v>
      </c>
      <c r="E119" s="591">
        <f>'9 Median energibesparelse'!F173</f>
        <v>0</v>
      </c>
      <c r="F119" s="62">
        <f>'9 Median energibesparelse'!H173</f>
        <v>7.1000000000000227</v>
      </c>
      <c r="G119" s="62">
        <f>'9 Median energibesparelse'!J173</f>
        <v>8.5</v>
      </c>
      <c r="H119" s="62">
        <f>'9 Median energibesparelse'!L173</f>
        <v>7.4000000000000057</v>
      </c>
      <c r="I119" s="62">
        <f>'9 Median energibesparelse'!N173</f>
        <v>10.800000000000011</v>
      </c>
      <c r="J119" s="62">
        <f>'9 Median energibesparelse'!P173</f>
        <v>24.700000000000045</v>
      </c>
      <c r="K119" s="62">
        <f>'9 Median energibesparelse'!R173</f>
        <v>18.099999999999966</v>
      </c>
      <c r="L119" s="62">
        <f>'9 Median energibesparelse'!T173</f>
        <v>15.399999999999977</v>
      </c>
      <c r="M119" s="62">
        <f>'9 Median energibesparelse'!V173</f>
        <v>6.1999999999999886</v>
      </c>
      <c r="N119" s="62">
        <f>'9 Median energibesparelse'!X173</f>
        <v>20.200000000000045</v>
      </c>
      <c r="O119" s="62">
        <f>'9 Median energibesparelse'!Z173</f>
        <v>9.5</v>
      </c>
    </row>
    <row r="120" spans="1:15" x14ac:dyDescent="0.25">
      <c r="C120" t="s">
        <v>4</v>
      </c>
      <c r="D120" s="591">
        <f>'10 Høy energibesparelse'!D173</f>
        <v>0</v>
      </c>
      <c r="E120" s="591">
        <f>'10 Høy energibesparelse'!F173</f>
        <v>0</v>
      </c>
      <c r="F120" s="62">
        <f>'10 Høy energibesparelse'!H173</f>
        <v>8</v>
      </c>
      <c r="G120" s="62">
        <f>'10 Høy energibesparelse'!J173</f>
        <v>9.8999999999999773</v>
      </c>
      <c r="H120" s="62">
        <f>'10 Høy energibesparelse'!L173</f>
        <v>8.3999999999999773</v>
      </c>
      <c r="I120" s="62">
        <f>'10 Høy energibesparelse'!N173</f>
        <v>12.899999999999977</v>
      </c>
      <c r="J120" s="62">
        <f>'10 Høy energibesparelse'!P173</f>
        <v>28.5</v>
      </c>
      <c r="K120" s="62">
        <f>'10 Høy energibesparelse'!R173</f>
        <v>19.399999999999977</v>
      </c>
      <c r="L120" s="62">
        <f>'10 Høy energibesparelse'!T173</f>
        <v>17.5</v>
      </c>
      <c r="M120" s="62">
        <f>'10 Høy energibesparelse'!V173</f>
        <v>7.2999999999999545</v>
      </c>
      <c r="N120" s="62">
        <f>'10 Høy energibesparelse'!X173</f>
        <v>23.899999999999977</v>
      </c>
      <c r="O120" s="62">
        <f>'10 Høy energibesparelse'!Z173</f>
        <v>11.200000000000045</v>
      </c>
    </row>
    <row r="121" spans="1:15" x14ac:dyDescent="0.25">
      <c r="B121" t="s">
        <v>677</v>
      </c>
      <c r="C121" t="s">
        <v>3</v>
      </c>
      <c r="D121" s="592">
        <f>'12 Kostnader VVS'!$F$39</f>
        <v>0</v>
      </c>
      <c r="E121" s="592">
        <f>'12 Kostnader VVS'!$F$40</f>
        <v>0</v>
      </c>
      <c r="F121" s="555">
        <f>'12 Kostnader VVS'!$F$41</f>
        <v>26.455549999999999</v>
      </c>
      <c r="G121" s="555">
        <f>'12 Kostnader VVS'!$F$42</f>
        <v>26.455549999999999</v>
      </c>
      <c r="H121" s="555">
        <f>'12 Kostnader VVS'!$F$43</f>
        <v>26.455549999999999</v>
      </c>
      <c r="I121" s="555">
        <f>'12 Kostnader VVS'!$F$44</f>
        <v>26.455549999999999</v>
      </c>
      <c r="J121" s="555">
        <f>'12 Kostnader VVS'!$F$45</f>
        <v>26.455549999999999</v>
      </c>
      <c r="K121" s="555">
        <f>'12 Kostnader VVS'!$F$46</f>
        <v>26.455549999999999</v>
      </c>
      <c r="L121" s="555">
        <f>'12 Kostnader VVS'!$F$47</f>
        <v>26.455549999999999</v>
      </c>
      <c r="M121" s="555">
        <f>'12 Kostnader VVS'!$F$48</f>
        <v>26.455549999999999</v>
      </c>
      <c r="N121" s="555">
        <f>'12 Kostnader VVS'!$F$49</f>
        <v>26.455549999999999</v>
      </c>
      <c r="O121" s="555">
        <f>'12 Kostnader VVS'!$F$50</f>
        <v>26.455549999999999</v>
      </c>
    </row>
    <row r="122" spans="1:15" x14ac:dyDescent="0.25">
      <c r="C122" t="s">
        <v>143</v>
      </c>
      <c r="D122" s="592">
        <f>'12 Kostnader VVS'!$G$39</f>
        <v>0</v>
      </c>
      <c r="E122" s="592">
        <f>'12 Kostnader VVS'!$G$40</f>
        <v>0</v>
      </c>
      <c r="F122" s="555">
        <f>'12 Kostnader VVS'!$G$41</f>
        <v>37.037770000000002</v>
      </c>
      <c r="G122" s="555">
        <f>'12 Kostnader VVS'!$G$42</f>
        <v>37.037770000000002</v>
      </c>
      <c r="H122" s="555">
        <f>'12 Kostnader VVS'!$G$43</f>
        <v>37.037770000000002</v>
      </c>
      <c r="I122" s="555">
        <f>'12 Kostnader VVS'!$G$44</f>
        <v>37.037770000000002</v>
      </c>
      <c r="J122" s="555">
        <f>'12 Kostnader VVS'!$G$45</f>
        <v>37.037770000000002</v>
      </c>
      <c r="K122" s="555">
        <f>'12 Kostnader VVS'!$G$46</f>
        <v>37.037770000000002</v>
      </c>
      <c r="L122" s="555">
        <f>'12 Kostnader VVS'!$G$47</f>
        <v>37.037770000000002</v>
      </c>
      <c r="M122" s="555">
        <f>'12 Kostnader VVS'!$G$48</f>
        <v>37.037770000000002</v>
      </c>
      <c r="N122" s="555">
        <f>'12 Kostnader VVS'!$G$49</f>
        <v>37.037770000000002</v>
      </c>
      <c r="O122" s="555">
        <f>'12 Kostnader VVS'!$G$50</f>
        <v>37.037770000000002</v>
      </c>
    </row>
    <row r="123" spans="1:15" x14ac:dyDescent="0.25">
      <c r="C123" t="s">
        <v>4</v>
      </c>
      <c r="D123" s="592">
        <f>'12 Kostnader VVS'!$H$39</f>
        <v>0</v>
      </c>
      <c r="E123" s="592">
        <f>'12 Kostnader VVS'!$H$40</f>
        <v>0</v>
      </c>
      <c r="F123" s="555">
        <f>'12 Kostnader VVS'!$H$41</f>
        <v>377.78525400000001</v>
      </c>
      <c r="G123" s="555">
        <f>'12 Kostnader VVS'!$H$42</f>
        <v>377.78525400000001</v>
      </c>
      <c r="H123" s="555">
        <f>'12 Kostnader VVS'!$H$43</f>
        <v>377.78525400000001</v>
      </c>
      <c r="I123" s="555">
        <f>'12 Kostnader VVS'!$H$44</f>
        <v>377.78525400000001</v>
      </c>
      <c r="J123" s="555">
        <f>'12 Kostnader VVS'!$H$45</f>
        <v>377.78525400000001</v>
      </c>
      <c r="K123" s="555">
        <f>'12 Kostnader VVS'!$H$46</f>
        <v>377.78525400000001</v>
      </c>
      <c r="L123" s="555">
        <f>'12 Kostnader VVS'!$H$47</f>
        <v>377.78525400000001</v>
      </c>
      <c r="M123" s="555">
        <f>'12 Kostnader VVS'!$H$48</f>
        <v>377.78525400000001</v>
      </c>
      <c r="N123" s="555">
        <f>'12 Kostnader VVS'!$H$49</f>
        <v>377.78525400000001</v>
      </c>
      <c r="O123" s="555">
        <f>'12 Kostnader VVS'!$H$50</f>
        <v>377.78525400000001</v>
      </c>
    </row>
    <row r="124" spans="1:15" x14ac:dyDescent="0.25">
      <c r="B124" t="s">
        <v>678</v>
      </c>
      <c r="C124" t="s">
        <v>3</v>
      </c>
      <c r="D124" s="592">
        <v>0</v>
      </c>
      <c r="E124" s="592">
        <v>0</v>
      </c>
      <c r="F124">
        <v>0</v>
      </c>
      <c r="G124">
        <v>0</v>
      </c>
      <c r="H124">
        <v>0</v>
      </c>
      <c r="I124">
        <v>0</v>
      </c>
      <c r="J124">
        <v>0</v>
      </c>
      <c r="K124">
        <v>0</v>
      </c>
      <c r="L124">
        <v>0</v>
      </c>
      <c r="M124">
        <v>0</v>
      </c>
      <c r="N124">
        <v>0</v>
      </c>
      <c r="O124">
        <v>0</v>
      </c>
    </row>
    <row r="125" spans="1:15" x14ac:dyDescent="0.25">
      <c r="C125" t="s">
        <v>143</v>
      </c>
      <c r="D125" s="592">
        <v>0</v>
      </c>
      <c r="E125" s="592">
        <v>0</v>
      </c>
      <c r="F125">
        <v>0</v>
      </c>
      <c r="G125">
        <v>0</v>
      </c>
      <c r="H125">
        <v>0</v>
      </c>
      <c r="I125">
        <v>0</v>
      </c>
      <c r="J125">
        <v>0</v>
      </c>
      <c r="K125">
        <v>0</v>
      </c>
      <c r="L125">
        <v>0</v>
      </c>
      <c r="M125">
        <v>0</v>
      </c>
      <c r="N125">
        <v>0</v>
      </c>
      <c r="O125">
        <v>0</v>
      </c>
    </row>
    <row r="126" spans="1:15" x14ac:dyDescent="0.25">
      <c r="C126" t="s">
        <v>4</v>
      </c>
      <c r="D126" s="592">
        <v>0</v>
      </c>
      <c r="E126" s="592">
        <v>0</v>
      </c>
      <c r="F126">
        <v>0</v>
      </c>
      <c r="G126">
        <v>0</v>
      </c>
      <c r="H126">
        <v>0</v>
      </c>
      <c r="I126">
        <v>0</v>
      </c>
      <c r="J126">
        <v>0</v>
      </c>
      <c r="K126">
        <v>0</v>
      </c>
      <c r="L126">
        <v>0</v>
      </c>
      <c r="M126">
        <v>0</v>
      </c>
      <c r="N126">
        <v>0</v>
      </c>
      <c r="O126">
        <v>0</v>
      </c>
    </row>
    <row r="127" spans="1:15" x14ac:dyDescent="0.25">
      <c r="B127" t="s">
        <v>679</v>
      </c>
      <c r="C127" t="s">
        <v>3</v>
      </c>
      <c r="D127" s="592">
        <f>'15 Levetider og rente'!$E$10</f>
        <v>20</v>
      </c>
      <c r="E127" s="592">
        <f>'15 Levetider og rente'!$E$10</f>
        <v>20</v>
      </c>
      <c r="F127">
        <f>'15 Levetider og rente'!$E$10</f>
        <v>20</v>
      </c>
      <c r="G127">
        <f>'15 Levetider og rente'!$E$10</f>
        <v>20</v>
      </c>
      <c r="H127">
        <f>'15 Levetider og rente'!$E$10</f>
        <v>20</v>
      </c>
      <c r="I127">
        <f>'15 Levetider og rente'!$E$10</f>
        <v>20</v>
      </c>
      <c r="J127">
        <f>'15 Levetider og rente'!$E$10</f>
        <v>20</v>
      </c>
      <c r="K127">
        <f>'15 Levetider og rente'!$E$10</f>
        <v>20</v>
      </c>
      <c r="L127">
        <f>'15 Levetider og rente'!$E$10</f>
        <v>20</v>
      </c>
      <c r="M127">
        <f>'15 Levetider og rente'!$E$10</f>
        <v>20</v>
      </c>
      <c r="N127">
        <f>'15 Levetider og rente'!$E$10</f>
        <v>20</v>
      </c>
      <c r="O127">
        <f>'15 Levetider og rente'!$E$10</f>
        <v>20</v>
      </c>
    </row>
    <row r="128" spans="1:15" x14ac:dyDescent="0.25">
      <c r="C128" t="s">
        <v>143</v>
      </c>
      <c r="D128" s="593">
        <f>'15 Levetider og rente'!$F$10</f>
        <v>20</v>
      </c>
      <c r="E128" s="593">
        <f>'15 Levetider og rente'!$F$10</f>
        <v>20</v>
      </c>
      <c r="F128" s="555">
        <f>'15 Levetider og rente'!$F$10</f>
        <v>20</v>
      </c>
      <c r="G128" s="555">
        <f>'15 Levetider og rente'!$F$10</f>
        <v>20</v>
      </c>
      <c r="H128" s="555">
        <f>'15 Levetider og rente'!$F$10</f>
        <v>20</v>
      </c>
      <c r="I128" s="555">
        <f>'15 Levetider og rente'!$F$10</f>
        <v>20</v>
      </c>
      <c r="J128" s="555">
        <f>'15 Levetider og rente'!$F$10</f>
        <v>20</v>
      </c>
      <c r="K128" s="555">
        <f>'15 Levetider og rente'!$F$10</f>
        <v>20</v>
      </c>
      <c r="L128" s="555">
        <f>'15 Levetider og rente'!$F$10</f>
        <v>20</v>
      </c>
      <c r="M128" s="555">
        <f>'15 Levetider og rente'!$F$10</f>
        <v>20</v>
      </c>
      <c r="N128" s="555">
        <f>'15 Levetider og rente'!$F$10</f>
        <v>20</v>
      </c>
      <c r="O128" s="555">
        <f>'15 Levetider og rente'!$F$10</f>
        <v>20</v>
      </c>
    </row>
    <row r="129" spans="1:15" x14ac:dyDescent="0.25">
      <c r="C129" t="s">
        <v>4</v>
      </c>
      <c r="D129" s="592">
        <f>'15 Levetider og rente'!$G$10</f>
        <v>20</v>
      </c>
      <c r="E129" s="592">
        <f>'15 Levetider og rente'!$G$10</f>
        <v>20</v>
      </c>
      <c r="F129">
        <f>'15 Levetider og rente'!$G$10</f>
        <v>20</v>
      </c>
      <c r="G129">
        <f>'15 Levetider og rente'!$G$10</f>
        <v>20</v>
      </c>
      <c r="H129">
        <f>'15 Levetider og rente'!$G$10</f>
        <v>20</v>
      </c>
      <c r="I129">
        <f>'15 Levetider og rente'!$G$10</f>
        <v>20</v>
      </c>
      <c r="J129">
        <f>'15 Levetider og rente'!$G$10</f>
        <v>20</v>
      </c>
      <c r="K129">
        <f>'15 Levetider og rente'!$G$10</f>
        <v>20</v>
      </c>
      <c r="L129">
        <f>'15 Levetider og rente'!$G$10</f>
        <v>20</v>
      </c>
      <c r="M129">
        <f>'15 Levetider og rente'!$G$10</f>
        <v>20</v>
      </c>
      <c r="N129">
        <f>'15 Levetider og rente'!$G$10</f>
        <v>20</v>
      </c>
      <c r="O129">
        <f>'15 Levetider og rente'!$G$10</f>
        <v>20</v>
      </c>
    </row>
    <row r="130" spans="1:15" x14ac:dyDescent="0.25">
      <c r="B130" t="s">
        <v>680</v>
      </c>
      <c r="C130" t="s">
        <v>3</v>
      </c>
      <c r="D130" s="594">
        <f>'15 Levetider og rente'!$B$10</f>
        <v>0.06</v>
      </c>
      <c r="E130" s="594">
        <f>'15 Levetider og rente'!$B$10</f>
        <v>0.06</v>
      </c>
      <c r="F130" s="485">
        <f>'15 Levetider og rente'!$B$10</f>
        <v>0.06</v>
      </c>
      <c r="G130" s="485">
        <f>'15 Levetider og rente'!$B$10</f>
        <v>0.06</v>
      </c>
      <c r="H130" s="485">
        <f>'15 Levetider og rente'!$B$10</f>
        <v>0.06</v>
      </c>
      <c r="I130" s="485">
        <f>'15 Levetider og rente'!$B$10</f>
        <v>0.06</v>
      </c>
      <c r="J130" s="485">
        <f>'15 Levetider og rente'!$B$10</f>
        <v>0.06</v>
      </c>
      <c r="K130" s="485">
        <f>'15 Levetider og rente'!$B$10</f>
        <v>0.06</v>
      </c>
      <c r="L130" s="485">
        <f>'15 Levetider og rente'!$B$10</f>
        <v>0.06</v>
      </c>
      <c r="M130" s="485">
        <f>'15 Levetider og rente'!$B$10</f>
        <v>0.06</v>
      </c>
      <c r="N130" s="485">
        <f>'15 Levetider og rente'!$B$10</f>
        <v>0.06</v>
      </c>
      <c r="O130" s="485">
        <f>'15 Levetider og rente'!$B$10</f>
        <v>0.06</v>
      </c>
    </row>
    <row r="131" spans="1:15" x14ac:dyDescent="0.25">
      <c r="C131" t="s">
        <v>143</v>
      </c>
      <c r="D131" s="594">
        <f>'15 Levetider og rente'!$C$10</f>
        <v>0.06</v>
      </c>
      <c r="E131" s="594">
        <f>'15 Levetider og rente'!$C$10</f>
        <v>0.06</v>
      </c>
      <c r="F131" s="485">
        <f>'15 Levetider og rente'!$C$10</f>
        <v>0.06</v>
      </c>
      <c r="G131" s="485">
        <f>'15 Levetider og rente'!$C$10</f>
        <v>0.06</v>
      </c>
      <c r="H131" s="485">
        <f>'15 Levetider og rente'!$C$10</f>
        <v>0.06</v>
      </c>
      <c r="I131" s="485">
        <f>'15 Levetider og rente'!$C$10</f>
        <v>0.06</v>
      </c>
      <c r="J131" s="485">
        <f>'15 Levetider og rente'!$C$10</f>
        <v>0.06</v>
      </c>
      <c r="K131" s="485">
        <f>'15 Levetider og rente'!$C$10</f>
        <v>0.06</v>
      </c>
      <c r="L131" s="485">
        <f>'15 Levetider og rente'!$C$10</f>
        <v>0.06</v>
      </c>
      <c r="M131" s="485">
        <f>'15 Levetider og rente'!$C$10</f>
        <v>0.06</v>
      </c>
      <c r="N131" s="485">
        <f>'15 Levetider og rente'!$C$10</f>
        <v>0.06</v>
      </c>
      <c r="O131" s="485">
        <f>'15 Levetider og rente'!$C$10</f>
        <v>0.06</v>
      </c>
    </row>
    <row r="132" spans="1:15" x14ac:dyDescent="0.25">
      <c r="C132" t="s">
        <v>4</v>
      </c>
      <c r="D132" s="594">
        <f>'15 Levetider og rente'!$D$10</f>
        <v>0.06</v>
      </c>
      <c r="E132" s="594">
        <f>'15 Levetider og rente'!$D$10</f>
        <v>0.06</v>
      </c>
      <c r="F132" s="485">
        <f>'15 Levetider og rente'!$D$10</f>
        <v>0.06</v>
      </c>
      <c r="G132" s="485">
        <f>'15 Levetider og rente'!$D$10</f>
        <v>0.06</v>
      </c>
      <c r="H132" s="485">
        <f>'15 Levetider og rente'!$D$10</f>
        <v>0.06</v>
      </c>
      <c r="I132" s="485">
        <f>'15 Levetider og rente'!$D$10</f>
        <v>0.06</v>
      </c>
      <c r="J132" s="485">
        <f>'15 Levetider og rente'!$D$10</f>
        <v>0.06</v>
      </c>
      <c r="K132" s="485">
        <f>'15 Levetider og rente'!$D$10</f>
        <v>0.06</v>
      </c>
      <c r="L132" s="485">
        <f>'15 Levetider og rente'!$D$10</f>
        <v>0.06</v>
      </c>
      <c r="M132" s="485">
        <f>'15 Levetider og rente'!$D$10</f>
        <v>0.06</v>
      </c>
      <c r="N132" s="485">
        <f>'15 Levetider og rente'!$D$10</f>
        <v>0.06</v>
      </c>
      <c r="O132" s="485">
        <f>'15 Levetider og rente'!$D$10</f>
        <v>0.06</v>
      </c>
    </row>
    <row r="133" spans="1:15" x14ac:dyDescent="0.25">
      <c r="B133" t="s">
        <v>753</v>
      </c>
      <c r="C133" t="s">
        <v>3</v>
      </c>
      <c r="D133" s="562"/>
      <c r="E133" s="562"/>
      <c r="F133" s="564">
        <f t="shared" ref="F133:O133" si="31">(F121-PV(F130,F129,F124))/-PV(F130,F129,F120)</f>
        <v>0.2883144257911176</v>
      </c>
      <c r="G133" s="564">
        <f>(G121-PV(G130,G129,G124))/-PV(G130,G129,G120)</f>
        <v>0.23298135417464103</v>
      </c>
      <c r="H133" s="564">
        <f t="shared" si="31"/>
        <v>0.2745851674201128</v>
      </c>
      <c r="I133" s="564">
        <f t="shared" si="31"/>
        <v>0.1787996439014686</v>
      </c>
      <c r="J133" s="564">
        <f t="shared" si="31"/>
        <v>8.0930365134348814E-2</v>
      </c>
      <c r="K133" s="564">
        <f t="shared" si="31"/>
        <v>0.11889254671798678</v>
      </c>
      <c r="L133" s="564">
        <f t="shared" si="31"/>
        <v>0.13180088036165377</v>
      </c>
      <c r="M133" s="564">
        <f t="shared" si="31"/>
        <v>0.31596101456561032</v>
      </c>
      <c r="N133" s="564">
        <f t="shared" si="31"/>
        <v>9.6506920766901386E-2</v>
      </c>
      <c r="O133" s="564">
        <f t="shared" si="31"/>
        <v>0.20593887556508314</v>
      </c>
    </row>
    <row r="134" spans="1:15" x14ac:dyDescent="0.25">
      <c r="C134" t="s">
        <v>143</v>
      </c>
      <c r="D134" s="562"/>
      <c r="E134" s="562"/>
      <c r="F134" s="564">
        <f t="shared" ref="F134:O134" si="32">(F122-PV(F131,F128,F125))/-PV(F131,F128,F119)</f>
        <v>0.45480585476908553</v>
      </c>
      <c r="G134" s="564">
        <f>(G122-PV(G131,G128,G125))/-PV(G131,G128,G119)</f>
        <v>0.37989665516006088</v>
      </c>
      <c r="H134" s="564">
        <f t="shared" si="32"/>
        <v>0.4363677795757453</v>
      </c>
      <c r="I134" s="564">
        <f t="shared" si="32"/>
        <v>0.298992737857455</v>
      </c>
      <c r="J134" s="564">
        <f t="shared" si="32"/>
        <v>0.13073366675548631</v>
      </c>
      <c r="K134" s="564">
        <f t="shared" si="32"/>
        <v>0.17840450656687976</v>
      </c>
      <c r="L134" s="564">
        <f t="shared" si="32"/>
        <v>0.20968321875717677</v>
      </c>
      <c r="M134" s="564">
        <f t="shared" si="32"/>
        <v>0.52082605949363292</v>
      </c>
      <c r="N134" s="564">
        <f t="shared" si="32"/>
        <v>0.15985750340893617</v>
      </c>
      <c r="O134" s="564">
        <f t="shared" si="32"/>
        <v>0.33990753356426501</v>
      </c>
    </row>
    <row r="135" spans="1:15" x14ac:dyDescent="0.25">
      <c r="C135" t="s">
        <v>4</v>
      </c>
      <c r="D135" s="562"/>
      <c r="E135" s="562"/>
      <c r="F135" s="564">
        <f t="shared" ref="F135:O135" si="33">(F123-PV(F132,F127,F126))/-PV(F132,F127,F118)</f>
        <v>6.8618833338285841</v>
      </c>
      <c r="G135" s="564">
        <f>(G123-PV(G132,G127,G126))/-PV(G132,G127,G118)</f>
        <v>6.2145358495051672</v>
      </c>
      <c r="H135" s="564">
        <f t="shared" si="33"/>
        <v>6.4582431377210421</v>
      </c>
      <c r="I135" s="564">
        <f t="shared" si="33"/>
        <v>4.8436823532907889</v>
      </c>
      <c r="J135" s="564">
        <f t="shared" si="33"/>
        <v>2.0331506174306977</v>
      </c>
      <c r="K135" s="564">
        <f t="shared" si="33"/>
        <v>2.5336184617213293</v>
      </c>
      <c r="L135" s="564">
        <f t="shared" si="33"/>
        <v>3.3609224492221674</v>
      </c>
      <c r="M135" s="564">
        <f t="shared" si="33"/>
        <v>8.4453948724044796</v>
      </c>
      <c r="N135" s="564">
        <f t="shared" si="33"/>
        <v>2.5532589149129721</v>
      </c>
      <c r="O135" s="564">
        <f t="shared" si="33"/>
        <v>5.4895066670628792</v>
      </c>
    </row>
    <row r="137" spans="1:15" x14ac:dyDescent="0.25">
      <c r="A137" t="s">
        <v>890</v>
      </c>
      <c r="B137" t="s">
        <v>676</v>
      </c>
      <c r="C137" t="s">
        <v>3</v>
      </c>
      <c r="D137" s="591">
        <f>'8 Lav energibesparelse'!D212</f>
        <v>0</v>
      </c>
      <c r="E137" s="591">
        <f>'8 Lav energibesparelse'!F212</f>
        <v>0</v>
      </c>
      <c r="F137" s="62">
        <f>'8 Lav energibesparelse'!H212</f>
        <v>25.299999999999983</v>
      </c>
      <c r="G137" s="62">
        <f>'8 Lav energibesparelse'!J212</f>
        <v>22.000000000000014</v>
      </c>
      <c r="H137" s="62">
        <f>'8 Lav energibesparelse'!L212</f>
        <v>27.800000000000011</v>
      </c>
      <c r="I137" s="62">
        <f>'8 Lav energibesparelse'!N212</f>
        <v>33.400000000000006</v>
      </c>
      <c r="J137" s="62">
        <f>'8 Lav energibesparelse'!P212</f>
        <v>88.6</v>
      </c>
      <c r="K137" s="62">
        <f>'8 Lav energibesparelse'!R212</f>
        <v>67.400000000000034</v>
      </c>
      <c r="L137" s="62">
        <f>'8 Lav energibesparelse'!T212</f>
        <v>61.5</v>
      </c>
      <c r="M137" s="62">
        <f>'8 Lav energibesparelse'!V212</f>
        <v>21.900000000000006</v>
      </c>
      <c r="N137" s="62">
        <f>'8 Lav energibesparelse'!X212</f>
        <v>66.300000000000011</v>
      </c>
      <c r="O137" s="62">
        <f>'8 Lav energibesparelse'!Z212</f>
        <v>38.199999999999989</v>
      </c>
    </row>
    <row r="138" spans="1:15" x14ac:dyDescent="0.25">
      <c r="C138" t="s">
        <v>143</v>
      </c>
      <c r="D138" s="591">
        <f>'9 Median energibesparelse'!D212</f>
        <v>0</v>
      </c>
      <c r="E138" s="591">
        <f>'9 Median energibesparelse'!F212</f>
        <v>0</v>
      </c>
      <c r="F138" s="62">
        <f>'9 Median energibesparelse'!H212</f>
        <v>33.599999999999994</v>
      </c>
      <c r="G138" s="62">
        <f>'9 Median energibesparelse'!J212</f>
        <v>37.300000000000011</v>
      </c>
      <c r="H138" s="62">
        <f>'9 Median energibesparelse'!L212</f>
        <v>38.400000000000006</v>
      </c>
      <c r="I138" s="62">
        <f>'9 Median energibesparelse'!N212</f>
        <v>56.399999999999977</v>
      </c>
      <c r="J138" s="62">
        <f>'9 Median energibesparelse'!P212</f>
        <v>139.09999999999991</v>
      </c>
      <c r="K138" s="62">
        <f>'9 Median energibesparelse'!R212</f>
        <v>85.200000000000045</v>
      </c>
      <c r="L138" s="62">
        <f>'9 Median energibesparelse'!T212</f>
        <v>97</v>
      </c>
      <c r="M138" s="62">
        <f>'9 Median energibesparelse'!V212</f>
        <v>30.900000000000034</v>
      </c>
      <c r="N138" s="62">
        <f>'9 Median energibesparelse'!X212</f>
        <v>111.39999999999995</v>
      </c>
      <c r="O138" s="62">
        <f>'9 Median energibesparelse'!Z212</f>
        <v>59.399999999999977</v>
      </c>
    </row>
    <row r="139" spans="1:15" x14ac:dyDescent="0.25">
      <c r="C139" t="s">
        <v>4</v>
      </c>
      <c r="D139" s="591">
        <f>'10 Høy energibesparelse'!D212</f>
        <v>0</v>
      </c>
      <c r="E139" s="591">
        <f>'10 Høy energibesparelse'!F212</f>
        <v>0</v>
      </c>
      <c r="F139" s="62">
        <f>'10 Høy energibesparelse'!H212</f>
        <v>49.5</v>
      </c>
      <c r="G139" s="62">
        <f>'10 Høy energibesparelse'!J212</f>
        <v>51.5</v>
      </c>
      <c r="H139" s="62">
        <f>'10 Høy energibesparelse'!L212</f>
        <v>54.600000000000023</v>
      </c>
      <c r="I139" s="62">
        <f>'10 Høy energibesparelse'!N212</f>
        <v>76.699999999999989</v>
      </c>
      <c r="J139" s="62">
        <f>'10 Høy energibesparelse'!P212</f>
        <v>167.29999999999995</v>
      </c>
      <c r="K139" s="62">
        <f>'10 Høy energibesparelse'!R212</f>
        <v>117.50000000000006</v>
      </c>
      <c r="L139" s="62">
        <f>'10 Høy energibesparelse'!T212</f>
        <v>115.29999999999995</v>
      </c>
      <c r="M139" s="62">
        <f>'10 Høy energibesparelse'!V212</f>
        <v>41.800000000000011</v>
      </c>
      <c r="N139" s="62">
        <f>'10 Høy energibesparelse'!X212</f>
        <v>142.40000000000003</v>
      </c>
      <c r="O139" s="62">
        <f>'10 Høy energibesparelse'!Z212</f>
        <v>72.999999999999943</v>
      </c>
    </row>
    <row r="140" spans="1:15" x14ac:dyDescent="0.25">
      <c r="B140" t="s">
        <v>677</v>
      </c>
      <c r="C140" t="s">
        <v>3</v>
      </c>
      <c r="D140" s="592">
        <f>'12 Kostnader VVS'!$I$39</f>
        <v>0</v>
      </c>
      <c r="E140" s="592">
        <f>'12 Kostnader VVS'!$I$40</f>
        <v>0</v>
      </c>
      <c r="F140" s="555">
        <f>'12 Kostnader VVS'!$I$41</f>
        <v>351.32970399999999</v>
      </c>
      <c r="G140" s="555">
        <f>'12 Kostnader VVS'!$I$42</f>
        <v>439.16212999999999</v>
      </c>
      <c r="H140" s="555">
        <f>'12 Kostnader VVS'!$I$43</f>
        <v>263.49727799999999</v>
      </c>
      <c r="I140" s="555">
        <f>'12 Kostnader VVS'!$I$44</f>
        <v>263.49727799999999</v>
      </c>
      <c r="J140" s="555">
        <f>'12 Kostnader VVS'!$I$45</f>
        <v>439.16212999999999</v>
      </c>
      <c r="K140" s="555">
        <f>'12 Kostnader VVS'!$I$46</f>
        <v>351.32970399999999</v>
      </c>
      <c r="L140" s="555">
        <f>'12 Kostnader VVS'!$I$47</f>
        <v>351.32970399999999</v>
      </c>
      <c r="M140" s="555">
        <f>'12 Kostnader VVS'!$I$48</f>
        <v>210.7978224</v>
      </c>
      <c r="N140" s="555">
        <f>'12 Kostnader VVS'!$I$49</f>
        <v>210.7978224</v>
      </c>
      <c r="O140" s="555">
        <f>'12 Kostnader VVS'!$I$50</f>
        <v>263.49727799999999</v>
      </c>
    </row>
    <row r="141" spans="1:15" x14ac:dyDescent="0.25">
      <c r="C141" t="s">
        <v>143</v>
      </c>
      <c r="D141" s="592">
        <f>'12 Kostnader VVS'!$J$39</f>
        <v>0</v>
      </c>
      <c r="E141" s="592">
        <f>'12 Kostnader VVS'!$J$40</f>
        <v>0</v>
      </c>
      <c r="F141" s="555">
        <f>'12 Kostnader VVS'!$J$41</f>
        <v>421.5956448</v>
      </c>
      <c r="G141" s="555">
        <f>'12 Kostnader VVS'!$J$42</f>
        <v>526.99455599999999</v>
      </c>
      <c r="H141" s="555">
        <f>'12 Kostnader VVS'!$J$43</f>
        <v>316.19673359999996</v>
      </c>
      <c r="I141" s="555">
        <f>'12 Kostnader VVS'!$J$44</f>
        <v>316.19673359999996</v>
      </c>
      <c r="J141" s="555">
        <f>'12 Kostnader VVS'!$J$45</f>
        <v>526.99455599999999</v>
      </c>
      <c r="K141" s="555">
        <f>'12 Kostnader VVS'!$J$46</f>
        <v>421.5956448</v>
      </c>
      <c r="L141" s="555">
        <f>'12 Kostnader VVS'!$J$47</f>
        <v>421.5956448</v>
      </c>
      <c r="M141" s="555">
        <f>'12 Kostnader VVS'!$J$48</f>
        <v>252.95738688</v>
      </c>
      <c r="N141" s="555">
        <f>'12 Kostnader VVS'!$J$49</f>
        <v>252.95738688</v>
      </c>
      <c r="O141" s="555">
        <f>'12 Kostnader VVS'!$J$50</f>
        <v>316.19673359999996</v>
      </c>
    </row>
    <row r="142" spans="1:15" x14ac:dyDescent="0.25">
      <c r="C142" t="s">
        <v>4</v>
      </c>
      <c r="D142" s="592">
        <f>'12 Kostnader VVS'!$K$39</f>
        <v>0</v>
      </c>
      <c r="E142" s="592">
        <f>'12 Kostnader VVS'!$K$40</f>
        <v>0</v>
      </c>
      <c r="F142" s="555">
        <f>'12 Kostnader VVS'!$K$41</f>
        <v>548.07433823999997</v>
      </c>
      <c r="G142" s="555">
        <f>'12 Kostnader VVS'!$K$42</f>
        <v>685.0929228</v>
      </c>
      <c r="H142" s="555">
        <f>'12 Kostnader VVS'!$K$43</f>
        <v>411.05575367999995</v>
      </c>
      <c r="I142" s="555">
        <f>'12 Kostnader VVS'!$K$44</f>
        <v>411.05575367999995</v>
      </c>
      <c r="J142" s="555">
        <f>'12 Kostnader VVS'!$K$45</f>
        <v>685.0929228</v>
      </c>
      <c r="K142" s="555">
        <f>'12 Kostnader VVS'!$K$46</f>
        <v>548.07433823999997</v>
      </c>
      <c r="L142" s="555">
        <f>'12 Kostnader VVS'!$K$47</f>
        <v>548.07433823999997</v>
      </c>
      <c r="M142" s="555">
        <f>'12 Kostnader VVS'!$K$48</f>
        <v>328.84460294400003</v>
      </c>
      <c r="N142" s="555">
        <f>'12 Kostnader VVS'!$K$49</f>
        <v>328.84460294400003</v>
      </c>
      <c r="O142" s="555">
        <f>'12 Kostnader VVS'!$K$50</f>
        <v>411.05575367999995</v>
      </c>
    </row>
    <row r="143" spans="1:15" x14ac:dyDescent="0.25">
      <c r="B143" t="s">
        <v>678</v>
      </c>
      <c r="C143" t="s">
        <v>3</v>
      </c>
      <c r="D143" s="592">
        <v>0</v>
      </c>
      <c r="E143" s="592">
        <v>0</v>
      </c>
      <c r="F143">
        <v>0</v>
      </c>
      <c r="G143">
        <v>0</v>
      </c>
      <c r="H143">
        <v>0</v>
      </c>
      <c r="I143">
        <v>0</v>
      </c>
      <c r="J143">
        <v>0</v>
      </c>
      <c r="K143">
        <v>0</v>
      </c>
      <c r="L143">
        <v>0</v>
      </c>
      <c r="M143">
        <v>0</v>
      </c>
      <c r="N143">
        <v>0</v>
      </c>
      <c r="O143">
        <v>0</v>
      </c>
    </row>
    <row r="144" spans="1:15" x14ac:dyDescent="0.25">
      <c r="C144" t="s">
        <v>143</v>
      </c>
      <c r="D144" s="592">
        <v>0</v>
      </c>
      <c r="E144" s="592">
        <v>0</v>
      </c>
      <c r="F144">
        <v>0</v>
      </c>
      <c r="G144">
        <v>0</v>
      </c>
      <c r="H144">
        <v>0</v>
      </c>
      <c r="I144">
        <v>0</v>
      </c>
      <c r="J144">
        <v>0</v>
      </c>
      <c r="K144">
        <v>0</v>
      </c>
      <c r="L144">
        <v>0</v>
      </c>
      <c r="M144">
        <v>0</v>
      </c>
      <c r="N144">
        <v>0</v>
      </c>
      <c r="O144">
        <v>0</v>
      </c>
    </row>
    <row r="145" spans="1:15" x14ac:dyDescent="0.25">
      <c r="C145" t="s">
        <v>4</v>
      </c>
      <c r="D145" s="592">
        <v>0</v>
      </c>
      <c r="E145" s="592">
        <v>0</v>
      </c>
      <c r="F145">
        <v>0</v>
      </c>
      <c r="G145">
        <v>0</v>
      </c>
      <c r="H145">
        <v>0</v>
      </c>
      <c r="I145">
        <v>0</v>
      </c>
      <c r="J145">
        <v>0</v>
      </c>
      <c r="K145">
        <v>0</v>
      </c>
      <c r="L145">
        <v>0</v>
      </c>
      <c r="M145">
        <v>0</v>
      </c>
      <c r="N145">
        <v>0</v>
      </c>
      <c r="O145">
        <v>0</v>
      </c>
    </row>
    <row r="146" spans="1:15" x14ac:dyDescent="0.25">
      <c r="B146" t="s">
        <v>679</v>
      </c>
      <c r="C146" t="s">
        <v>3</v>
      </c>
      <c r="D146" s="592">
        <f>'15 Levetider og rente'!$E$11</f>
        <v>20</v>
      </c>
      <c r="E146" s="592">
        <f>'15 Levetider og rente'!$E$11</f>
        <v>20</v>
      </c>
      <c r="F146">
        <f>'15 Levetider og rente'!$E$11</f>
        <v>20</v>
      </c>
      <c r="G146">
        <f>'15 Levetider og rente'!$E$11</f>
        <v>20</v>
      </c>
      <c r="H146">
        <f>'15 Levetider og rente'!$E$11</f>
        <v>20</v>
      </c>
      <c r="I146">
        <f>'15 Levetider og rente'!$E$11</f>
        <v>20</v>
      </c>
      <c r="J146">
        <f>'15 Levetider og rente'!$E$11</f>
        <v>20</v>
      </c>
      <c r="K146">
        <f>'15 Levetider og rente'!$E$11</f>
        <v>20</v>
      </c>
      <c r="L146">
        <f>'15 Levetider og rente'!$E$11</f>
        <v>20</v>
      </c>
      <c r="M146">
        <f>'15 Levetider og rente'!$E$11</f>
        <v>20</v>
      </c>
      <c r="N146">
        <f>'15 Levetider og rente'!$E$11</f>
        <v>20</v>
      </c>
      <c r="O146">
        <f>'15 Levetider og rente'!$E$11</f>
        <v>20</v>
      </c>
    </row>
    <row r="147" spans="1:15" x14ac:dyDescent="0.25">
      <c r="C147" t="s">
        <v>143</v>
      </c>
      <c r="D147" s="593">
        <f>'15 Levetider og rente'!$F$11</f>
        <v>20</v>
      </c>
      <c r="E147" s="593">
        <f>'15 Levetider og rente'!$F$11</f>
        <v>20</v>
      </c>
      <c r="F147" s="555">
        <f>'15 Levetider og rente'!$F$11</f>
        <v>20</v>
      </c>
      <c r="G147" s="555">
        <f>'15 Levetider og rente'!$F$11</f>
        <v>20</v>
      </c>
      <c r="H147" s="555">
        <f>'15 Levetider og rente'!$F$11</f>
        <v>20</v>
      </c>
      <c r="I147" s="555">
        <f>'15 Levetider og rente'!$F$11</f>
        <v>20</v>
      </c>
      <c r="J147" s="555">
        <f>'15 Levetider og rente'!$F$11</f>
        <v>20</v>
      </c>
      <c r="K147" s="555">
        <f>'15 Levetider og rente'!$F$11</f>
        <v>20</v>
      </c>
      <c r="L147" s="555">
        <f>'15 Levetider og rente'!$F$11</f>
        <v>20</v>
      </c>
      <c r="M147" s="555">
        <f>'15 Levetider og rente'!$F$11</f>
        <v>20</v>
      </c>
      <c r="N147" s="555">
        <f>'15 Levetider og rente'!$F$11</f>
        <v>20</v>
      </c>
      <c r="O147" s="555">
        <f>'15 Levetider og rente'!$F$11</f>
        <v>20</v>
      </c>
    </row>
    <row r="148" spans="1:15" x14ac:dyDescent="0.25">
      <c r="C148" t="s">
        <v>4</v>
      </c>
      <c r="D148" s="592">
        <f>'15 Levetider og rente'!$G$11</f>
        <v>20</v>
      </c>
      <c r="E148" s="592">
        <f>'15 Levetider og rente'!$G$11</f>
        <v>20</v>
      </c>
      <c r="F148">
        <f>'15 Levetider og rente'!$G$11</f>
        <v>20</v>
      </c>
      <c r="G148">
        <f>'15 Levetider og rente'!$G$11</f>
        <v>20</v>
      </c>
      <c r="H148">
        <f>'15 Levetider og rente'!$G$11</f>
        <v>20</v>
      </c>
      <c r="I148">
        <f>'15 Levetider og rente'!$G$11</f>
        <v>20</v>
      </c>
      <c r="J148">
        <f>'15 Levetider og rente'!$G$11</f>
        <v>20</v>
      </c>
      <c r="K148">
        <f>'15 Levetider og rente'!$G$11</f>
        <v>20</v>
      </c>
      <c r="L148">
        <f>'15 Levetider og rente'!$G$11</f>
        <v>20</v>
      </c>
      <c r="M148">
        <f>'15 Levetider og rente'!$G$11</f>
        <v>20</v>
      </c>
      <c r="N148">
        <f>'15 Levetider og rente'!$G$11</f>
        <v>20</v>
      </c>
      <c r="O148">
        <f>'15 Levetider og rente'!$G$11</f>
        <v>20</v>
      </c>
    </row>
    <row r="149" spans="1:15" x14ac:dyDescent="0.25">
      <c r="B149" t="s">
        <v>680</v>
      </c>
      <c r="C149" t="s">
        <v>3</v>
      </c>
      <c r="D149" s="594">
        <f>'15 Levetider og rente'!$B$11</f>
        <v>0.06</v>
      </c>
      <c r="E149" s="594">
        <f>'15 Levetider og rente'!$B$11</f>
        <v>0.06</v>
      </c>
      <c r="F149" s="485">
        <f>'15 Levetider og rente'!$B$11</f>
        <v>0.06</v>
      </c>
      <c r="G149" s="485">
        <f>'15 Levetider og rente'!$B$11</f>
        <v>0.06</v>
      </c>
      <c r="H149" s="485">
        <f>'15 Levetider og rente'!$B$11</f>
        <v>0.06</v>
      </c>
      <c r="I149" s="485">
        <f>'15 Levetider og rente'!$B$11</f>
        <v>0.06</v>
      </c>
      <c r="J149" s="485">
        <f>'15 Levetider og rente'!$B$11</f>
        <v>0.06</v>
      </c>
      <c r="K149" s="485">
        <f>'15 Levetider og rente'!$B$11</f>
        <v>0.06</v>
      </c>
      <c r="L149" s="485">
        <f>'15 Levetider og rente'!$B$11</f>
        <v>0.06</v>
      </c>
      <c r="M149" s="485">
        <f>'15 Levetider og rente'!$B$11</f>
        <v>0.06</v>
      </c>
      <c r="N149" s="485">
        <f>'15 Levetider og rente'!$B$11</f>
        <v>0.06</v>
      </c>
      <c r="O149" s="485">
        <f>'15 Levetider og rente'!$B$11</f>
        <v>0.06</v>
      </c>
    </row>
    <row r="150" spans="1:15" x14ac:dyDescent="0.25">
      <c r="C150" t="s">
        <v>143</v>
      </c>
      <c r="D150" s="594">
        <f>'15 Levetider og rente'!$C$11</f>
        <v>0.06</v>
      </c>
      <c r="E150" s="594">
        <f>'15 Levetider og rente'!$C$11</f>
        <v>0.06</v>
      </c>
      <c r="F150" s="485">
        <f>'15 Levetider og rente'!$C$11</f>
        <v>0.06</v>
      </c>
      <c r="G150" s="485">
        <f>'15 Levetider og rente'!$C$11</f>
        <v>0.06</v>
      </c>
      <c r="H150" s="485">
        <f>'15 Levetider og rente'!$C$11</f>
        <v>0.06</v>
      </c>
      <c r="I150" s="485">
        <f>'15 Levetider og rente'!$C$11</f>
        <v>0.06</v>
      </c>
      <c r="J150" s="485">
        <f>'15 Levetider og rente'!$C$11</f>
        <v>0.06</v>
      </c>
      <c r="K150" s="485">
        <f>'15 Levetider og rente'!$C$11</f>
        <v>0.06</v>
      </c>
      <c r="L150" s="485">
        <f>'15 Levetider og rente'!$C$11</f>
        <v>0.06</v>
      </c>
      <c r="M150" s="485">
        <f>'15 Levetider og rente'!$C$11</f>
        <v>0.06</v>
      </c>
      <c r="N150" s="485">
        <f>'15 Levetider og rente'!$C$11</f>
        <v>0.06</v>
      </c>
      <c r="O150" s="485">
        <f>'15 Levetider og rente'!$C$11</f>
        <v>0.06</v>
      </c>
    </row>
    <row r="151" spans="1:15" x14ac:dyDescent="0.25">
      <c r="C151" t="s">
        <v>4</v>
      </c>
      <c r="D151" s="594">
        <f>'15 Levetider og rente'!$D$11</f>
        <v>0.06</v>
      </c>
      <c r="E151" s="594">
        <f>'15 Levetider og rente'!$D$11</f>
        <v>0.06</v>
      </c>
      <c r="F151" s="485">
        <f>'15 Levetider og rente'!$D$11</f>
        <v>0.06</v>
      </c>
      <c r="G151" s="485">
        <f>'15 Levetider og rente'!$D$11</f>
        <v>0.06</v>
      </c>
      <c r="H151" s="485">
        <f>'15 Levetider og rente'!$D$11</f>
        <v>0.06</v>
      </c>
      <c r="I151" s="485">
        <f>'15 Levetider og rente'!$D$11</f>
        <v>0.06</v>
      </c>
      <c r="J151" s="485">
        <f>'15 Levetider og rente'!$D$11</f>
        <v>0.06</v>
      </c>
      <c r="K151" s="485">
        <f>'15 Levetider og rente'!$D$11</f>
        <v>0.06</v>
      </c>
      <c r="L151" s="485">
        <f>'15 Levetider og rente'!$D$11</f>
        <v>0.06</v>
      </c>
      <c r="M151" s="485">
        <f>'15 Levetider og rente'!$D$11</f>
        <v>0.06</v>
      </c>
      <c r="N151" s="485">
        <f>'15 Levetider og rente'!$D$11</f>
        <v>0.06</v>
      </c>
      <c r="O151" s="485">
        <f>'15 Levetider og rente'!$D$11</f>
        <v>0.06</v>
      </c>
    </row>
    <row r="152" spans="1:15" x14ac:dyDescent="0.25">
      <c r="B152" t="s">
        <v>753</v>
      </c>
      <c r="C152" t="s">
        <v>3</v>
      </c>
      <c r="D152" s="562"/>
      <c r="E152" s="562"/>
      <c r="F152" s="564">
        <f t="shared" ref="F152:O152" si="34">(F140-PV(F149,F148,F143))/-PV(F149,F148,F139)</f>
        <v>0.61879847668784516</v>
      </c>
      <c r="G152" s="564">
        <f>(G140-PV(G149,G148,G143))/-PV(G149,G148,G139)</f>
        <v>0.74345933485554205</v>
      </c>
      <c r="H152" s="564">
        <f t="shared" si="34"/>
        <v>0.4207489642314331</v>
      </c>
      <c r="I152" s="564">
        <f t="shared" si="34"/>
        <v>0.29951621182576604</v>
      </c>
      <c r="J152" s="564">
        <f t="shared" si="34"/>
        <v>0.22885926924722313</v>
      </c>
      <c r="K152" s="564">
        <f t="shared" si="34"/>
        <v>0.26068531571104958</v>
      </c>
      <c r="L152" s="564">
        <f t="shared" si="34"/>
        <v>0.26565936336555379</v>
      </c>
      <c r="M152" s="564">
        <f t="shared" si="34"/>
        <v>0.43967260185715307</v>
      </c>
      <c r="N152" s="564">
        <f t="shared" si="34"/>
        <v>0.12906119914065306</v>
      </c>
      <c r="O152" s="564">
        <f t="shared" si="34"/>
        <v>0.31469717050734619</v>
      </c>
    </row>
    <row r="153" spans="1:15" x14ac:dyDescent="0.25">
      <c r="C153" t="s">
        <v>143</v>
      </c>
      <c r="D153" s="562"/>
      <c r="E153" s="562"/>
      <c r="F153" s="564">
        <f t="shared" ref="F153:O153" si="35">(F141-PV(F150,F147,F144))/-PV(F150,F147,F138)</f>
        <v>1.0939473070017265</v>
      </c>
      <c r="G153" s="564">
        <f>(G141-PV(G150,G147,G144))/-PV(G150,G147,G138)</f>
        <v>1.2317905333531498</v>
      </c>
      <c r="H153" s="564">
        <f t="shared" si="35"/>
        <v>0.71790292021988267</v>
      </c>
      <c r="I153" s="564">
        <f t="shared" si="35"/>
        <v>0.48878496695821833</v>
      </c>
      <c r="J153" s="564">
        <f t="shared" si="35"/>
        <v>0.33030759808822813</v>
      </c>
      <c r="K153" s="564">
        <f t="shared" si="35"/>
        <v>0.43141583938096228</v>
      </c>
      <c r="L153" s="564">
        <f t="shared" si="35"/>
        <v>0.37893432489956708</v>
      </c>
      <c r="M153" s="564">
        <f t="shared" si="35"/>
        <v>0.71372096146131969</v>
      </c>
      <c r="N153" s="564">
        <f t="shared" si="35"/>
        <v>0.1979710745884633</v>
      </c>
      <c r="O153" s="564">
        <f t="shared" si="35"/>
        <v>0.46409885751588409</v>
      </c>
    </row>
    <row r="154" spans="1:15" x14ac:dyDescent="0.25">
      <c r="C154" t="s">
        <v>4</v>
      </c>
      <c r="D154" s="562"/>
      <c r="E154" s="562"/>
      <c r="F154" s="564">
        <f t="shared" ref="F154:O154" si="36">(F142-PV(F151,F146,F145))/-PV(F151,F146,F137)</f>
        <v>1.8886805679776855</v>
      </c>
      <c r="G154" s="564">
        <f t="shared" si="36"/>
        <v>2.7149783164679189</v>
      </c>
      <c r="H154" s="564">
        <f t="shared" si="36"/>
        <v>1.2891263948696596</v>
      </c>
      <c r="I154" s="564">
        <f t="shared" si="36"/>
        <v>1.0729854424364234</v>
      </c>
      <c r="J154" s="564">
        <f t="shared" si="36"/>
        <v>0.67414811469858082</v>
      </c>
      <c r="K154" s="564">
        <f t="shared" si="36"/>
        <v>0.70895576216372957</v>
      </c>
      <c r="L154" s="564">
        <f t="shared" si="36"/>
        <v>0.77696940438756756</v>
      </c>
      <c r="M154" s="564">
        <f t="shared" si="36"/>
        <v>1.309140229310559</v>
      </c>
      <c r="N154" s="564">
        <f t="shared" si="36"/>
        <v>0.43243093547362355</v>
      </c>
      <c r="O154" s="564">
        <f t="shared" si="36"/>
        <v>0.9381600465281823</v>
      </c>
    </row>
    <row r="156" spans="1:15" x14ac:dyDescent="0.25">
      <c r="A156" t="s">
        <v>284</v>
      </c>
      <c r="B156" t="s">
        <v>676</v>
      </c>
      <c r="C156" t="s">
        <v>3</v>
      </c>
      <c r="D156" s="630">
        <f>'8 Lav energibesparelse'!D237</f>
        <v>8.5</v>
      </c>
      <c r="E156" s="630">
        <f>'8 Lav energibesparelse'!F237</f>
        <v>7.5999999999999943</v>
      </c>
      <c r="F156" s="630">
        <f>'8 Lav energibesparelse'!H237</f>
        <v>14.400000000000006</v>
      </c>
      <c r="G156" s="630">
        <f>'8 Lav energibesparelse'!J237</f>
        <v>8.2000000000000171</v>
      </c>
      <c r="H156" s="630">
        <f>'8 Lav energibesparelse'!L237</f>
        <v>12.400000000000006</v>
      </c>
      <c r="I156" s="62">
        <f>'8 Lav energibesparelse'!N237</f>
        <v>8.5</v>
      </c>
      <c r="J156" s="62">
        <f>'8 Lav energibesparelse'!P237</f>
        <v>7.5</v>
      </c>
      <c r="K156" s="62">
        <f>'8 Lav energibesparelse'!R237</f>
        <v>6.5999999999999659</v>
      </c>
      <c r="L156" s="62">
        <f>'8 Lav energibesparelse'!T237</f>
        <v>5.5999999999999659</v>
      </c>
      <c r="M156" s="62">
        <f>'8 Lav energibesparelse'!V237</f>
        <v>19</v>
      </c>
      <c r="N156" s="62">
        <f>'8 Lav energibesparelse'!X237</f>
        <v>8</v>
      </c>
      <c r="O156" s="62">
        <f>'8 Lav energibesparelse'!Z237</f>
        <v>10.599999999999994</v>
      </c>
    </row>
    <row r="157" spans="1:15" x14ac:dyDescent="0.25">
      <c r="C157" t="s">
        <v>143</v>
      </c>
      <c r="D157" s="630">
        <f>'9 Median energibesparelse'!D237</f>
        <v>11.900000000000006</v>
      </c>
      <c r="E157" s="630">
        <f>'9 Median energibesparelse'!F237</f>
        <v>10.700000000000017</v>
      </c>
      <c r="F157" s="630">
        <f>'9 Median energibesparelse'!H237</f>
        <v>21.200000000000045</v>
      </c>
      <c r="G157" s="630">
        <f>'9 Median energibesparelse'!J237</f>
        <v>14.100000000000023</v>
      </c>
      <c r="H157" s="630">
        <f>'9 Median energibesparelse'!L237</f>
        <v>18.699999999999989</v>
      </c>
      <c r="I157" s="62">
        <f>'9 Median energibesparelse'!N237</f>
        <v>14.400000000000034</v>
      </c>
      <c r="J157" s="62">
        <f>'9 Median energibesparelse'!P237</f>
        <v>10.800000000000068</v>
      </c>
      <c r="K157" s="62">
        <f>'9 Median energibesparelse'!R237</f>
        <v>7.5999999999999659</v>
      </c>
      <c r="L157" s="62">
        <f>'9 Median energibesparelse'!T237</f>
        <v>7.8999999999999773</v>
      </c>
      <c r="M157" s="62">
        <f>'9 Median energibesparelse'!V237</f>
        <v>32</v>
      </c>
      <c r="N157" s="62">
        <f>'9 Median energibesparelse'!X237</f>
        <v>13.400000000000034</v>
      </c>
      <c r="O157" s="62">
        <f>'9 Median energibesparelse'!Z237</f>
        <v>16.699999999999989</v>
      </c>
    </row>
    <row r="158" spans="1:15" x14ac:dyDescent="0.25">
      <c r="C158" t="s">
        <v>4</v>
      </c>
      <c r="D158" s="630">
        <f>'10 Høy energibesparelse'!D237</f>
        <v>20.5</v>
      </c>
      <c r="E158" s="630">
        <f>'10 Høy energibesparelse'!F237</f>
        <v>16.899999999999977</v>
      </c>
      <c r="F158" s="630">
        <f>'10 Høy energibesparelse'!H237</f>
        <v>56.700000000000045</v>
      </c>
      <c r="G158" s="630">
        <f>'10 Høy energibesparelse'!J237</f>
        <v>29.399999999999977</v>
      </c>
      <c r="H158" s="630">
        <f>'10 Høy energibesparelse'!L237</f>
        <v>43.899999999999977</v>
      </c>
      <c r="I158" s="62">
        <f>'10 Høy energibesparelse'!N237</f>
        <v>29.800000000000011</v>
      </c>
      <c r="J158" s="62">
        <f>'10 Høy energibesparelse'!P237</f>
        <v>17.199999999999932</v>
      </c>
      <c r="K158" s="62">
        <f>'10 Høy energibesparelse'!R237</f>
        <v>14.200000000000045</v>
      </c>
      <c r="L158" s="62">
        <f>'10 Høy energibesparelse'!T237</f>
        <v>13.899999999999977</v>
      </c>
      <c r="M158" s="62">
        <f>'10 Høy energibesparelse'!V237</f>
        <v>68.399999999999977</v>
      </c>
      <c r="N158" s="62">
        <f>'10 Høy energibesparelse'!X237</f>
        <v>25</v>
      </c>
      <c r="O158" s="62">
        <f>'10 Høy energibesparelse'!Z237</f>
        <v>37</v>
      </c>
    </row>
    <row r="159" spans="1:15" x14ac:dyDescent="0.25">
      <c r="B159" t="s">
        <v>677</v>
      </c>
      <c r="C159" t="s">
        <v>3</v>
      </c>
      <c r="D159" s="404">
        <f>'14 Kostnader Automasjon'!$C$35</f>
        <v>31.746659999999999</v>
      </c>
      <c r="E159" s="404">
        <f>'14 Kostnader Automasjon'!$C$36</f>
        <v>42.328879999999998</v>
      </c>
      <c r="F159" s="404">
        <f>'14 Kostnader Automasjon'!$C$37</f>
        <v>84.657759999999996</v>
      </c>
      <c r="G159" s="404">
        <f>'14 Kostnader Automasjon'!$C$38</f>
        <v>42.328879999999998</v>
      </c>
      <c r="H159" s="404">
        <f>'14 Kostnader Automasjon'!$C$39</f>
        <v>21.164439999999999</v>
      </c>
      <c r="I159">
        <f>'14 Kostnader Automasjon'!$C$40</f>
        <v>21.164439999999999</v>
      </c>
      <c r="J159">
        <f>'14 Kostnader Automasjon'!$C$41</f>
        <v>21.164439999999999</v>
      </c>
      <c r="K159">
        <f>'14 Kostnader Automasjon'!$C$42</f>
        <v>21.164439999999999</v>
      </c>
      <c r="L159">
        <f>'14 Kostnader Automasjon'!$C$43</f>
        <v>21.164439999999999</v>
      </c>
      <c r="M159">
        <f>'14 Kostnader Automasjon'!$C$44</f>
        <v>21.164439999999999</v>
      </c>
      <c r="N159">
        <f>'14 Kostnader Automasjon'!$C$45</f>
        <v>21.164439999999999</v>
      </c>
      <c r="O159">
        <f>'14 Kostnader Automasjon'!$C$46</f>
        <v>21.164439999999999</v>
      </c>
    </row>
    <row r="160" spans="1:15" x14ac:dyDescent="0.25">
      <c r="C160" t="s">
        <v>143</v>
      </c>
      <c r="D160" s="404">
        <f>'14 Kostnader Automasjon'!$D$35</f>
        <v>116.40442</v>
      </c>
      <c r="E160" s="404">
        <f>'14 Kostnader Automasjon'!$D$36</f>
        <v>158.73329999999999</v>
      </c>
      <c r="F160" s="404">
        <f>'14 Kostnader Automasjon'!$D$37</f>
        <v>158.73329999999999</v>
      </c>
      <c r="G160" s="404">
        <f>'14 Kostnader Automasjon'!$D$38</f>
        <v>211.64439999999999</v>
      </c>
      <c r="H160" s="404">
        <f>'14 Kostnader Automasjon'!$D$39</f>
        <v>211.64439999999999</v>
      </c>
      <c r="I160">
        <f>'14 Kostnader Automasjon'!$D$40</f>
        <v>211.64439999999999</v>
      </c>
      <c r="J160">
        <f>'14 Kostnader Automasjon'!$D$41</f>
        <v>211.64439999999999</v>
      </c>
      <c r="K160">
        <f>'14 Kostnader Automasjon'!$D$42</f>
        <v>158.73329999999999</v>
      </c>
      <c r="L160">
        <f>'14 Kostnader Automasjon'!$D$43</f>
        <v>158.73329999999999</v>
      </c>
      <c r="M160">
        <f>'14 Kostnader Automasjon'!$D$44</f>
        <v>105.8222</v>
      </c>
      <c r="N160">
        <f>'14 Kostnader Automasjon'!$D$45</f>
        <v>211.64439999999999</v>
      </c>
      <c r="O160">
        <f>'14 Kostnader Automasjon'!$D$46</f>
        <v>158.73329999999999</v>
      </c>
    </row>
    <row r="161" spans="1:15" x14ac:dyDescent="0.25">
      <c r="C161" t="s">
        <v>4</v>
      </c>
      <c r="D161" s="404">
        <f>'14 Kostnader Automasjon'!$E$35</f>
        <v>211.64439999999999</v>
      </c>
      <c r="E161" s="404">
        <f>'14 Kostnader Automasjon'!$E$36</f>
        <v>264.55549999999999</v>
      </c>
      <c r="F161" s="404">
        <f>'14 Kostnader Automasjon'!$E$37</f>
        <v>264.55549999999999</v>
      </c>
      <c r="G161" s="404">
        <f>'14 Kostnader Automasjon'!$E$38</f>
        <v>423.28879999999998</v>
      </c>
      <c r="H161" s="404">
        <f>'14 Kostnader Automasjon'!$E$39</f>
        <v>423.28879999999998</v>
      </c>
      <c r="I161">
        <f>'14 Kostnader Automasjon'!$E$40</f>
        <v>423.28879999999998</v>
      </c>
      <c r="J161">
        <f>'14 Kostnader Automasjon'!$E$41</f>
        <v>423.28879999999998</v>
      </c>
      <c r="K161">
        <f>'14 Kostnader Automasjon'!$E$42</f>
        <v>264.55549999999999</v>
      </c>
      <c r="L161">
        <f>'14 Kostnader Automasjon'!$E$43</f>
        <v>264.55549999999999</v>
      </c>
      <c r="M161">
        <f>'14 Kostnader Automasjon'!$E$44</f>
        <v>211.64439999999999</v>
      </c>
      <c r="N161">
        <f>'14 Kostnader Automasjon'!$E$45</f>
        <v>423.28879999999998</v>
      </c>
      <c r="O161">
        <f>'14 Kostnader Automasjon'!$E$46</f>
        <v>264.55549999999999</v>
      </c>
    </row>
    <row r="162" spans="1:15" x14ac:dyDescent="0.25">
      <c r="B162" t="s">
        <v>678</v>
      </c>
      <c r="C162" t="s">
        <v>3</v>
      </c>
      <c r="D162" s="404">
        <v>0</v>
      </c>
      <c r="E162" s="404">
        <v>0</v>
      </c>
      <c r="F162" s="404">
        <v>0</v>
      </c>
      <c r="G162" s="404">
        <v>0</v>
      </c>
      <c r="H162" s="404">
        <v>0</v>
      </c>
      <c r="I162">
        <v>0</v>
      </c>
      <c r="J162">
        <v>0</v>
      </c>
      <c r="K162">
        <v>0</v>
      </c>
      <c r="L162">
        <v>0</v>
      </c>
      <c r="M162">
        <v>0</v>
      </c>
      <c r="N162">
        <v>0</v>
      </c>
      <c r="O162">
        <v>0</v>
      </c>
    </row>
    <row r="163" spans="1:15" x14ac:dyDescent="0.25">
      <c r="C163" t="s">
        <v>143</v>
      </c>
      <c r="D163" s="404">
        <v>0</v>
      </c>
      <c r="E163" s="404">
        <v>0</v>
      </c>
      <c r="F163" s="404">
        <v>0</v>
      </c>
      <c r="G163" s="404">
        <v>0</v>
      </c>
      <c r="H163" s="404">
        <v>0</v>
      </c>
      <c r="I163">
        <v>0</v>
      </c>
      <c r="J163">
        <v>0</v>
      </c>
      <c r="K163">
        <v>0</v>
      </c>
      <c r="L163">
        <v>0</v>
      </c>
      <c r="M163">
        <v>0</v>
      </c>
      <c r="N163">
        <v>0</v>
      </c>
      <c r="O163">
        <v>0</v>
      </c>
    </row>
    <row r="164" spans="1:15" x14ac:dyDescent="0.25">
      <c r="C164" t="s">
        <v>4</v>
      </c>
      <c r="D164" s="404">
        <v>0</v>
      </c>
      <c r="E164" s="404">
        <v>0</v>
      </c>
      <c r="F164" s="404">
        <v>0</v>
      </c>
      <c r="G164" s="404">
        <v>0</v>
      </c>
      <c r="H164" s="404">
        <v>0</v>
      </c>
      <c r="I164">
        <v>0</v>
      </c>
      <c r="J164">
        <v>0</v>
      </c>
      <c r="K164">
        <v>0</v>
      </c>
      <c r="L164">
        <v>0</v>
      </c>
      <c r="M164">
        <v>0</v>
      </c>
      <c r="N164">
        <v>0</v>
      </c>
      <c r="O164">
        <v>0</v>
      </c>
    </row>
    <row r="165" spans="1:15" x14ac:dyDescent="0.25">
      <c r="B165" t="s">
        <v>679</v>
      </c>
      <c r="C165" t="s">
        <v>3</v>
      </c>
      <c r="D165" s="404">
        <f>'15 Levetider og rente'!$E$14</f>
        <v>12</v>
      </c>
      <c r="E165" s="404">
        <f>'15 Levetider og rente'!$E$14</f>
        <v>12</v>
      </c>
      <c r="F165" s="404">
        <f>'15 Levetider og rente'!$E$14</f>
        <v>12</v>
      </c>
      <c r="G165" s="404">
        <f>'15 Levetider og rente'!$E$14</f>
        <v>12</v>
      </c>
      <c r="H165" s="404">
        <f>'15 Levetider og rente'!$E$14</f>
        <v>12</v>
      </c>
      <c r="I165">
        <f>'15 Levetider og rente'!$E$14</f>
        <v>12</v>
      </c>
      <c r="J165">
        <f>'15 Levetider og rente'!$E$14</f>
        <v>12</v>
      </c>
      <c r="K165">
        <f>'15 Levetider og rente'!$E$14</f>
        <v>12</v>
      </c>
      <c r="L165">
        <f>'15 Levetider og rente'!$E$14</f>
        <v>12</v>
      </c>
      <c r="M165">
        <f>'15 Levetider og rente'!$E$14</f>
        <v>12</v>
      </c>
      <c r="N165">
        <f>'15 Levetider og rente'!$E$14</f>
        <v>12</v>
      </c>
      <c r="O165">
        <f>'15 Levetider og rente'!$E$14</f>
        <v>12</v>
      </c>
    </row>
    <row r="166" spans="1:15" x14ac:dyDescent="0.25">
      <c r="C166" t="s">
        <v>143</v>
      </c>
      <c r="D166" s="616">
        <f>'15 Levetider og rente'!$F$14</f>
        <v>12</v>
      </c>
      <c r="E166" s="616">
        <f>'15 Levetider og rente'!$F$14</f>
        <v>12</v>
      </c>
      <c r="F166" s="616">
        <f>'15 Levetider og rente'!$F$14</f>
        <v>12</v>
      </c>
      <c r="G166" s="616">
        <f>'15 Levetider og rente'!$F$14</f>
        <v>12</v>
      </c>
      <c r="H166" s="616">
        <f>'15 Levetider og rente'!$F$14</f>
        <v>12</v>
      </c>
      <c r="I166" s="555">
        <f>'15 Levetider og rente'!$F$14</f>
        <v>12</v>
      </c>
      <c r="J166" s="555">
        <f>'15 Levetider og rente'!$F$14</f>
        <v>12</v>
      </c>
      <c r="K166" s="555">
        <f>'15 Levetider og rente'!$F$14</f>
        <v>12</v>
      </c>
      <c r="L166" s="555">
        <f>'15 Levetider og rente'!$F$14</f>
        <v>12</v>
      </c>
      <c r="M166" s="555">
        <f>'15 Levetider og rente'!$F$14</f>
        <v>12</v>
      </c>
      <c r="N166" s="555">
        <f>'15 Levetider og rente'!$F$14</f>
        <v>12</v>
      </c>
      <c r="O166" s="555">
        <f>'15 Levetider og rente'!$F$14</f>
        <v>12</v>
      </c>
    </row>
    <row r="167" spans="1:15" x14ac:dyDescent="0.25">
      <c r="C167" t="s">
        <v>4</v>
      </c>
      <c r="D167" s="404">
        <f>'15 Levetider og rente'!$G$14</f>
        <v>12</v>
      </c>
      <c r="E167" s="404">
        <f>'15 Levetider og rente'!$G$14</f>
        <v>12</v>
      </c>
      <c r="F167" s="404">
        <f>'15 Levetider og rente'!$G$14</f>
        <v>12</v>
      </c>
      <c r="G167" s="404">
        <f>'15 Levetider og rente'!$G$14</f>
        <v>12</v>
      </c>
      <c r="H167" s="404">
        <f>'15 Levetider og rente'!$G$14</f>
        <v>12</v>
      </c>
      <c r="I167">
        <f>'15 Levetider og rente'!$G$14</f>
        <v>12</v>
      </c>
      <c r="J167">
        <f>'15 Levetider og rente'!$G$14</f>
        <v>12</v>
      </c>
      <c r="K167">
        <f>'15 Levetider og rente'!$G$14</f>
        <v>12</v>
      </c>
      <c r="L167">
        <f>'15 Levetider og rente'!$G$14</f>
        <v>12</v>
      </c>
      <c r="M167">
        <f>'15 Levetider og rente'!$G$14</f>
        <v>12</v>
      </c>
      <c r="N167">
        <f>'15 Levetider og rente'!$G$14</f>
        <v>12</v>
      </c>
      <c r="O167">
        <f>'15 Levetider og rente'!$G$14</f>
        <v>12</v>
      </c>
    </row>
    <row r="168" spans="1:15" x14ac:dyDescent="0.25">
      <c r="B168" t="s">
        <v>680</v>
      </c>
      <c r="C168" t="s">
        <v>3</v>
      </c>
      <c r="D168" s="655">
        <f>'15 Levetider og rente'!$B$14</f>
        <v>0.06</v>
      </c>
      <c r="E168" s="655">
        <f>'15 Levetider og rente'!$B$14</f>
        <v>0.06</v>
      </c>
      <c r="F168" s="655">
        <f>'15 Levetider og rente'!$B$14</f>
        <v>0.06</v>
      </c>
      <c r="G168" s="655">
        <f>'15 Levetider og rente'!$B$14</f>
        <v>0.06</v>
      </c>
      <c r="H168" s="655">
        <f>'15 Levetider og rente'!$B$14</f>
        <v>0.06</v>
      </c>
      <c r="I168" s="485">
        <f>'15 Levetider og rente'!$B$14</f>
        <v>0.06</v>
      </c>
      <c r="J168" s="485">
        <f>'15 Levetider og rente'!$B$14</f>
        <v>0.06</v>
      </c>
      <c r="K168" s="485">
        <f>'15 Levetider og rente'!$B$14</f>
        <v>0.06</v>
      </c>
      <c r="L168" s="485">
        <f>'15 Levetider og rente'!$B$14</f>
        <v>0.06</v>
      </c>
      <c r="M168" s="485">
        <f>'15 Levetider og rente'!$B$14</f>
        <v>0.06</v>
      </c>
      <c r="N168" s="485">
        <f>'15 Levetider og rente'!$B$14</f>
        <v>0.06</v>
      </c>
      <c r="O168" s="485">
        <f>'15 Levetider og rente'!$B$14</f>
        <v>0.06</v>
      </c>
    </row>
    <row r="169" spans="1:15" x14ac:dyDescent="0.25">
      <c r="C169" t="s">
        <v>143</v>
      </c>
      <c r="D169" s="655">
        <f>'15 Levetider og rente'!$C$14</f>
        <v>0.06</v>
      </c>
      <c r="E169" s="655">
        <f>'15 Levetider og rente'!$C$14</f>
        <v>0.06</v>
      </c>
      <c r="F169" s="655">
        <f>'15 Levetider og rente'!$C$14</f>
        <v>0.06</v>
      </c>
      <c r="G169" s="655">
        <f>'15 Levetider og rente'!$C$14</f>
        <v>0.06</v>
      </c>
      <c r="H169" s="655">
        <f>'15 Levetider og rente'!$C$14</f>
        <v>0.06</v>
      </c>
      <c r="I169" s="485">
        <f>'15 Levetider og rente'!$C$14</f>
        <v>0.06</v>
      </c>
      <c r="J169" s="485">
        <f>'15 Levetider og rente'!$C$14</f>
        <v>0.06</v>
      </c>
      <c r="K169" s="485">
        <f>'15 Levetider og rente'!$C$14</f>
        <v>0.06</v>
      </c>
      <c r="L169" s="485">
        <f>'15 Levetider og rente'!$C$14</f>
        <v>0.06</v>
      </c>
      <c r="M169" s="485">
        <f>'15 Levetider og rente'!$C$14</f>
        <v>0.06</v>
      </c>
      <c r="N169" s="485">
        <f>'15 Levetider og rente'!$C$14</f>
        <v>0.06</v>
      </c>
      <c r="O169" s="485">
        <f>'15 Levetider og rente'!$C$14</f>
        <v>0.06</v>
      </c>
    </row>
    <row r="170" spans="1:15" x14ac:dyDescent="0.25">
      <c r="C170" t="s">
        <v>4</v>
      </c>
      <c r="D170" s="655">
        <f>'15 Levetider og rente'!$D$14</f>
        <v>0.06</v>
      </c>
      <c r="E170" s="655">
        <f>'15 Levetider og rente'!$D$14</f>
        <v>0.06</v>
      </c>
      <c r="F170" s="655">
        <f>'15 Levetider og rente'!$D$14</f>
        <v>0.06</v>
      </c>
      <c r="G170" s="655">
        <f>'15 Levetider og rente'!$D$14</f>
        <v>0.06</v>
      </c>
      <c r="H170" s="655">
        <f>'15 Levetider og rente'!$D$14</f>
        <v>0.06</v>
      </c>
      <c r="I170" s="485">
        <f>'15 Levetider og rente'!$D$14</f>
        <v>0.06</v>
      </c>
      <c r="J170" s="485">
        <f>'15 Levetider og rente'!$D$14</f>
        <v>0.06</v>
      </c>
      <c r="K170" s="485">
        <f>'15 Levetider og rente'!$D$14</f>
        <v>0.06</v>
      </c>
      <c r="L170" s="485">
        <f>'15 Levetider og rente'!$D$14</f>
        <v>0.06</v>
      </c>
      <c r="M170" s="485">
        <f>'15 Levetider og rente'!$D$14</f>
        <v>0.06</v>
      </c>
      <c r="N170" s="485">
        <f>'15 Levetider og rente'!$D$14</f>
        <v>0.06</v>
      </c>
      <c r="O170" s="485">
        <f>'15 Levetider og rente'!$D$14</f>
        <v>0.06</v>
      </c>
    </row>
    <row r="171" spans="1:15" x14ac:dyDescent="0.25">
      <c r="B171" t="s">
        <v>753</v>
      </c>
      <c r="C171" t="s">
        <v>3</v>
      </c>
      <c r="D171" s="627">
        <f>(D159-PV(D168,D167,D162))/-PV(D168,D167,D158)</f>
        <v>0.18471450231989933</v>
      </c>
      <c r="E171" s="627">
        <f>(E159-PV(E168,E167,E162))/-PV(E168,E167,E158)</f>
        <v>0.29874929369293424</v>
      </c>
      <c r="F171" s="627">
        <f>(F160-PV(F169,F166,F163))/-PV(F169,F166,F158)</f>
        <v>0.33391951477583187</v>
      </c>
      <c r="G171" s="627">
        <f>(G159-PV(G168,G167,G162))/-PV(G168,G167,G156)</f>
        <v>0.61571500773299637</v>
      </c>
      <c r="H171" s="627">
        <f t="shared" ref="H171:O171" si="37">(H159-PV(H168,H167,H162))/-PV(H168,H167,H156)</f>
        <v>0.20358318804074918</v>
      </c>
      <c r="I171" s="564">
        <f t="shared" si="37"/>
        <v>0.29699194490650477</v>
      </c>
      <c r="J171" s="564">
        <f t="shared" si="37"/>
        <v>0.33659087089403877</v>
      </c>
      <c r="K171" s="564">
        <f t="shared" si="37"/>
        <v>0.3824896260159551</v>
      </c>
      <c r="L171" s="564">
        <f t="shared" si="37"/>
        <v>0.45079134494737616</v>
      </c>
      <c r="M171" s="564">
        <f t="shared" si="37"/>
        <v>0.13286481745817319</v>
      </c>
      <c r="N171" s="564">
        <f t="shared" si="37"/>
        <v>0.31555394146316135</v>
      </c>
      <c r="O171" s="564">
        <f t="shared" si="37"/>
        <v>0.2381539180854049</v>
      </c>
    </row>
    <row r="172" spans="1:15" x14ac:dyDescent="0.25">
      <c r="C172" t="s">
        <v>143</v>
      </c>
      <c r="D172" s="627">
        <f>(D160-PV(D169,D166,D163))/-PV(D169,D166,D157)</f>
        <v>1.166754069275554</v>
      </c>
      <c r="E172" s="627">
        <f>(E160-PV(E169,E166,E163))/-PV(E169,E166,E157)</f>
        <v>1.7694613539990325</v>
      </c>
      <c r="F172" s="627">
        <f>(F159-PV(F168,F167,F162))/-PV(F168,F167,F156)</f>
        <v>0.70123098102924719</v>
      </c>
      <c r="G172" s="627">
        <f>(G160-PV(G169,G166,G163))/-PV(G169,G166,G158)</f>
        <v>0.8586501808521404</v>
      </c>
      <c r="H172" s="627">
        <f t="shared" ref="H172:O172" si="38">(H160-PV(H169,H166,H163))/-PV(H169,H166,H158)</f>
        <v>0.57504135118571575</v>
      </c>
      <c r="I172" s="564">
        <f t="shared" si="38"/>
        <v>0.84712467506888922</v>
      </c>
      <c r="J172" s="564">
        <f t="shared" si="38"/>
        <v>1.4676927509914539</v>
      </c>
      <c r="K172" s="564">
        <f t="shared" si="38"/>
        <v>1.3333265132246213</v>
      </c>
      <c r="L172" s="564">
        <f t="shared" si="38"/>
        <v>1.362103344445303</v>
      </c>
      <c r="M172" s="564">
        <f t="shared" si="38"/>
        <v>0.18453446869190729</v>
      </c>
      <c r="N172" s="564">
        <f t="shared" si="38"/>
        <v>1.0097726126821163</v>
      </c>
      <c r="O172" s="564">
        <f t="shared" si="38"/>
        <v>0.51170909426458588</v>
      </c>
    </row>
    <row r="173" spans="1:15" x14ac:dyDescent="0.25">
      <c r="C173" t="s">
        <v>4</v>
      </c>
      <c r="D173" s="627">
        <f>(D161-PV(D170,D165,D164))/-PV(D170,D165,D156)</f>
        <v>2.9699194490650478</v>
      </c>
      <c r="E173" s="627">
        <f>(E161-PV(E170,E165,E164))/-PV(E170,E165,E156)</f>
        <v>4.1520255455679154</v>
      </c>
      <c r="F173" s="627">
        <f>(F161-PV(F170,F165,F164))/-PV(F170,F165,F157)</f>
        <v>1.4884619880337766</v>
      </c>
      <c r="G173" s="627">
        <f>(G161-PV(G170,G165,G164))/-PV(G170,G165,G157)</f>
        <v>3.5807539456812578</v>
      </c>
      <c r="H173" s="627">
        <f>(H161-PV(H170,H165,H164))/-PV(H170,H165,H157)</f>
        <v>2.6999267718773181</v>
      </c>
      <c r="I173" s="564">
        <f t="shared" ref="I173:O173" si="39">(I161-PV(I170,I165,I164))/-PV(I170,I165,I157)</f>
        <v>3.5061549051462291</v>
      </c>
      <c r="J173" s="564">
        <f>(J161-PV(J170,J165,J164))/-PV(J170,J165,J157)</f>
        <v>4.6748732068616201</v>
      </c>
      <c r="K173" s="564">
        <f t="shared" si="39"/>
        <v>4.1520255455679314</v>
      </c>
      <c r="L173" s="564">
        <f t="shared" si="39"/>
        <v>3.9943536894071174</v>
      </c>
      <c r="M173" s="564">
        <f t="shared" si="39"/>
        <v>0.7888848536579034</v>
      </c>
      <c r="N173" s="564">
        <f t="shared" si="39"/>
        <v>3.7678082562765436</v>
      </c>
      <c r="O173" s="564">
        <f t="shared" si="39"/>
        <v>1.8895445596596501</v>
      </c>
    </row>
    <row r="175" spans="1:15" x14ac:dyDescent="0.25">
      <c r="A175" s="404" t="s">
        <v>517</v>
      </c>
      <c r="B175" t="s">
        <v>676</v>
      </c>
      <c r="C175" t="s">
        <v>3</v>
      </c>
      <c r="D175" s="591">
        <f>'8 Lav energibesparelse'!D262</f>
        <v>0</v>
      </c>
      <c r="E175" s="591">
        <f>'8 Lav energibesparelse'!F262</f>
        <v>0</v>
      </c>
      <c r="F175" s="62">
        <f>'8 Lav energibesparelse'!H262</f>
        <v>1.3000000000000114</v>
      </c>
      <c r="G175" s="62">
        <f>'8 Lav energibesparelse'!J262</f>
        <v>6.1999999999999993</v>
      </c>
      <c r="H175" s="62">
        <f>'8 Lav energibesparelse'!L262</f>
        <v>1.1999999999999886</v>
      </c>
      <c r="I175" s="62">
        <f>'8 Lav energibesparelse'!N262</f>
        <v>6.1999999999999993</v>
      </c>
      <c r="J175" s="62">
        <f>'8 Lav energibesparelse'!P262</f>
        <v>11.699999999999996</v>
      </c>
      <c r="K175" s="62">
        <f>'8 Lav energibesparelse'!R262</f>
        <v>2.1999999999999886</v>
      </c>
      <c r="L175" s="62">
        <f>'8 Lav energibesparelse'!T262</f>
        <v>11.699999999999996</v>
      </c>
      <c r="M175" s="62">
        <f>'8 Lav energibesparelse'!V262</f>
        <v>1.0999999999999943</v>
      </c>
      <c r="N175" s="62">
        <f>'8 Lav energibesparelse'!X262</f>
        <v>14</v>
      </c>
      <c r="O175" s="62">
        <f>'8 Lav energibesparelse'!Z262</f>
        <v>5.6999999999999993</v>
      </c>
    </row>
    <row r="176" spans="1:15" x14ac:dyDescent="0.25">
      <c r="C176" t="s">
        <v>143</v>
      </c>
      <c r="D176" s="591">
        <f>'9 Median energibesparelse'!D262</f>
        <v>0</v>
      </c>
      <c r="E176" s="591">
        <f>'9 Median energibesparelse'!F262</f>
        <v>0</v>
      </c>
      <c r="F176" s="62">
        <f>'9 Median energibesparelse'!H262</f>
        <v>3.9000000000000341</v>
      </c>
      <c r="G176" s="62">
        <f>'9 Median energibesparelse'!J262</f>
        <v>14.099999999999998</v>
      </c>
      <c r="H176" s="62">
        <f>'9 Median energibesparelse'!L262</f>
        <v>2.8000000000000114</v>
      </c>
      <c r="I176" s="62">
        <f>'9 Median energibesparelse'!N262</f>
        <v>14.099999999999998</v>
      </c>
      <c r="J176" s="62">
        <f>'9 Median energibesparelse'!P262</f>
        <v>25.6</v>
      </c>
      <c r="K176" s="62">
        <f>'10 Høy energibesparelse'!R262</f>
        <v>6.2000000000000455</v>
      </c>
      <c r="L176" s="62">
        <f>'9 Median energibesparelse'!T262</f>
        <v>25.6</v>
      </c>
      <c r="M176" s="62">
        <f>'9 Median energibesparelse'!V262</f>
        <v>2.6999999999999886</v>
      </c>
      <c r="N176" s="62">
        <f>'9 Median energibesparelse'!X262</f>
        <v>31.599999999999994</v>
      </c>
      <c r="O176" s="62">
        <f>'9 Median energibesparelse'!Z262</f>
        <v>13</v>
      </c>
    </row>
    <row r="177" spans="2:15" x14ac:dyDescent="0.25">
      <c r="C177" t="s">
        <v>4</v>
      </c>
      <c r="D177" s="591">
        <f>'10 Høy energibesparelse'!D262</f>
        <v>0</v>
      </c>
      <c r="E177" s="591">
        <f>'10 Høy energibesparelse'!F262</f>
        <v>0</v>
      </c>
      <c r="F177" s="62">
        <f>'10 Høy energibesparelse'!H262</f>
        <v>3.7000000000000455</v>
      </c>
      <c r="G177" s="62">
        <f>'10 Høy energibesparelse'!J262</f>
        <v>27.400000000000002</v>
      </c>
      <c r="H177" s="62">
        <f>'10 Høy energibesparelse'!L262</f>
        <v>3.5</v>
      </c>
      <c r="I177" s="62">
        <f>'10 Høy energibesparelse'!N262</f>
        <v>27.400000000000002</v>
      </c>
      <c r="J177" s="62">
        <f>'10 Høy energibesparelse'!P262</f>
        <v>48.599999999999994</v>
      </c>
      <c r="K177" s="62">
        <f>'9 Median energibesparelse'!R262</f>
        <v>6.6999999999999886</v>
      </c>
      <c r="L177" s="62">
        <f>'10 Høy energibesparelse'!T262</f>
        <v>48.5</v>
      </c>
      <c r="M177" s="62">
        <f>'10 Høy energibesparelse'!V262</f>
        <v>3.6000000000000227</v>
      </c>
      <c r="N177" s="62">
        <f>'10 Høy energibesparelse'!X262</f>
        <v>61.399999999999991</v>
      </c>
      <c r="O177" s="62">
        <f>'10 Høy energibesparelse'!Z262</f>
        <v>25.599999999999998</v>
      </c>
    </row>
    <row r="178" spans="2:15" x14ac:dyDescent="0.25">
      <c r="B178" t="s">
        <v>677</v>
      </c>
      <c r="C178" t="s">
        <v>3</v>
      </c>
      <c r="D178" s="592">
        <f>'13 Kostnader Elektro'!$C$23</f>
        <v>0</v>
      </c>
      <c r="E178" s="592">
        <f>'13 Kostnader Elektro'!$C$24</f>
        <v>0</v>
      </c>
      <c r="F178" s="555">
        <f>'13 Kostnader Elektro'!$C$25</f>
        <v>407.62711439999998</v>
      </c>
      <c r="G178" s="555">
        <f>'13 Kostnader Elektro'!$C$26</f>
        <v>340.32419519999996</v>
      </c>
      <c r="H178" s="555">
        <f>'13 Kostnader Elektro'!$C$27</f>
        <v>360.64205759999999</v>
      </c>
      <c r="I178" s="555">
        <f>'13 Kostnader Elektro'!$C$28</f>
        <v>438.10390799999999</v>
      </c>
      <c r="J178" s="555">
        <f>'13 Kostnader Elektro'!$C$29</f>
        <v>634.93319999999994</v>
      </c>
      <c r="K178" s="555">
        <f>'13 Kostnader Elektro'!$C$30</f>
        <v>532.07402159999992</v>
      </c>
      <c r="L178" s="555">
        <f>'13 Kostnader Elektro'!$C$31</f>
        <v>327.62553119999995</v>
      </c>
      <c r="M178" s="555">
        <f>'13 Kostnader Elektro'!$C$32</f>
        <v>401.27778239999998</v>
      </c>
      <c r="N178" s="555">
        <f>'13 Kostnader Elektro'!$C$33</f>
        <v>238.73488319999998</v>
      </c>
      <c r="O178" s="555">
        <f>'13 Kostnader Elektro'!$C$34</f>
        <v>642.5523983999999</v>
      </c>
    </row>
    <row r="179" spans="2:15" x14ac:dyDescent="0.25">
      <c r="C179" t="s">
        <v>143</v>
      </c>
      <c r="D179" s="592">
        <f>'13 Kostnader Elektro'!$D$23</f>
        <v>0</v>
      </c>
      <c r="E179" s="592">
        <f>'13 Kostnader Elektro'!$D$24</f>
        <v>0</v>
      </c>
      <c r="F179" s="555">
        <f>'13 Kostnader Elektro'!$D$25</f>
        <v>480.00949919999994</v>
      </c>
      <c r="G179" s="555">
        <f>'13 Kostnader Elektro'!$D$26</f>
        <v>506.67669359999996</v>
      </c>
      <c r="H179" s="555">
        <f>'13 Kostnader Elektro'!$D$27</f>
        <v>421.5956448</v>
      </c>
      <c r="I179" s="555">
        <f>'13 Kostnader Elektro'!$D$28</f>
        <v>546.042552</v>
      </c>
      <c r="J179" s="555">
        <f>'13 Kostnader Elektro'!$D$29</f>
        <v>634.93319999999994</v>
      </c>
      <c r="K179" s="555">
        <f>'13 Kostnader Elektro'!$D$30</f>
        <v>612.07560479999995</v>
      </c>
      <c r="L179" s="555">
        <f>'13 Kostnader Elektro'!$D$31</f>
        <v>513.02602559999991</v>
      </c>
      <c r="M179" s="555">
        <f>'13 Kostnader Elektro'!$D$32</f>
        <v>458.42177040000001</v>
      </c>
      <c r="N179" s="555">
        <f>'13 Kostnader Elektro'!$D$33</f>
        <v>552.391884</v>
      </c>
      <c r="O179" s="555">
        <f>'13 Kostnader Elektro'!$D$34</f>
        <v>685.72785599999997</v>
      </c>
    </row>
    <row r="180" spans="2:15" x14ac:dyDescent="0.25">
      <c r="C180" t="s">
        <v>4</v>
      </c>
      <c r="D180" s="592">
        <f>'13 Kostnader Elektro'!$E$23</f>
        <v>0</v>
      </c>
      <c r="E180" s="592">
        <f>'13 Kostnader Elektro'!$E$24</f>
        <v>0</v>
      </c>
      <c r="F180" s="555">
        <f>'13 Kostnader Elektro'!$E$25</f>
        <v>721.707404</v>
      </c>
      <c r="G180" s="555">
        <f>'13 Kostnader Elektro'!$E$26</f>
        <v>845.51937799999996</v>
      </c>
      <c r="H180" s="555">
        <f>'13 Kostnader Elektro'!$E$27</f>
        <v>790.49183400000004</v>
      </c>
      <c r="I180" s="555">
        <f>'13 Kostnader Elektro'!$E$28</f>
        <v>839.17004599999996</v>
      </c>
      <c r="J180" s="555">
        <f>'13 Kostnader Elektro'!$E$29</f>
        <v>814.83093999999994</v>
      </c>
      <c r="K180" s="555">
        <f>'13 Kostnader Elektro'!$E$30</f>
        <v>814.83093999999994</v>
      </c>
      <c r="L180" s="555">
        <f>'13 Kostnader Elektro'!$E$31</f>
        <v>1318.5446119999999</v>
      </c>
      <c r="M180" s="555">
        <f>'13 Kostnader Elektro'!$E$32</f>
        <v>542.867886</v>
      </c>
      <c r="N180" s="555">
        <f>'13 Kostnader Elektro'!$E$33</f>
        <v>958.74913200000003</v>
      </c>
      <c r="O180" s="555">
        <f>'13 Kostnader Elektro'!$E$34</f>
        <v>958.74913200000003</v>
      </c>
    </row>
    <row r="181" spans="2:15" x14ac:dyDescent="0.25">
      <c r="B181" t="s">
        <v>678</v>
      </c>
      <c r="C181" t="s">
        <v>3</v>
      </c>
      <c r="D181" s="592">
        <v>0</v>
      </c>
      <c r="E181" s="592">
        <v>0</v>
      </c>
      <c r="F181" s="647">
        <f>-'13 Kostnader Elektro'!$Q$48</f>
        <v>-1.6905873015872988</v>
      </c>
      <c r="G181" s="647">
        <f>-'13 Kostnader Elektro'!$Q$48</f>
        <v>-1.6905873015872988</v>
      </c>
      <c r="H181" s="647">
        <f>-'13 Kostnader Elektro'!$Q$48</f>
        <v>-1.6905873015872988</v>
      </c>
      <c r="I181" s="647">
        <f>-'13 Kostnader Elektro'!$Q$48</f>
        <v>-1.6905873015872988</v>
      </c>
      <c r="J181" s="647">
        <f>-'13 Kostnader Elektro'!$Q$48</f>
        <v>-1.6905873015872988</v>
      </c>
      <c r="K181" s="647">
        <f>-'13 Kostnader Elektro'!$Q$48</f>
        <v>-1.6905873015872988</v>
      </c>
      <c r="L181" s="647">
        <f>-'13 Kostnader Elektro'!$Q$48</f>
        <v>-1.6905873015872988</v>
      </c>
      <c r="M181" s="647">
        <f>-'13 Kostnader Elektro'!$Q$48</f>
        <v>-1.6905873015872988</v>
      </c>
      <c r="N181" s="647">
        <f>-'13 Kostnader Elektro'!$Q$48</f>
        <v>-1.6905873015872988</v>
      </c>
      <c r="O181" s="647">
        <f>-'13 Kostnader Elektro'!$Q$48</f>
        <v>-1.6905873015872988</v>
      </c>
    </row>
    <row r="182" spans="2:15" x14ac:dyDescent="0.25">
      <c r="C182" t="s">
        <v>143</v>
      </c>
      <c r="D182" s="592">
        <v>0</v>
      </c>
      <c r="E182" s="592">
        <v>0</v>
      </c>
      <c r="F182" s="647">
        <f>-'13 Kostnader Elektro'!$Q$48</f>
        <v>-1.6905873015872988</v>
      </c>
      <c r="G182" s="647">
        <f>-'13 Kostnader Elektro'!$Q$48</f>
        <v>-1.6905873015872988</v>
      </c>
      <c r="H182" s="647">
        <f>-'13 Kostnader Elektro'!$Q$48</f>
        <v>-1.6905873015872988</v>
      </c>
      <c r="I182" s="647">
        <f>-'13 Kostnader Elektro'!$Q$48</f>
        <v>-1.6905873015872988</v>
      </c>
      <c r="J182" s="647">
        <f>-'13 Kostnader Elektro'!$Q$48</f>
        <v>-1.6905873015872988</v>
      </c>
      <c r="K182" s="647">
        <f>-'13 Kostnader Elektro'!$Q$48</f>
        <v>-1.6905873015872988</v>
      </c>
      <c r="L182" s="647">
        <f>-'13 Kostnader Elektro'!$Q$48</f>
        <v>-1.6905873015872988</v>
      </c>
      <c r="M182" s="647">
        <f>-'13 Kostnader Elektro'!$Q$48</f>
        <v>-1.6905873015872988</v>
      </c>
      <c r="N182" s="647">
        <f>-'13 Kostnader Elektro'!$Q$48</f>
        <v>-1.6905873015872988</v>
      </c>
      <c r="O182" s="647">
        <f>-'13 Kostnader Elektro'!$Q$48</f>
        <v>-1.6905873015872988</v>
      </c>
    </row>
    <row r="183" spans="2:15" x14ac:dyDescent="0.25">
      <c r="C183" t="s">
        <v>4</v>
      </c>
      <c r="D183" s="592">
        <v>0</v>
      </c>
      <c r="E183" s="592">
        <v>0</v>
      </c>
      <c r="F183" s="647">
        <f>-'13 Kostnader Elektro'!$Q$48</f>
        <v>-1.6905873015872988</v>
      </c>
      <c r="G183" s="647">
        <f>-'13 Kostnader Elektro'!$Q$48</f>
        <v>-1.6905873015872988</v>
      </c>
      <c r="H183" s="647">
        <f>-'13 Kostnader Elektro'!$Q$48</f>
        <v>-1.6905873015872988</v>
      </c>
      <c r="I183" s="647">
        <f>-'13 Kostnader Elektro'!$Q$48</f>
        <v>-1.6905873015872988</v>
      </c>
      <c r="J183" s="647">
        <f>-'13 Kostnader Elektro'!$Q$48</f>
        <v>-1.6905873015872988</v>
      </c>
      <c r="K183" s="647">
        <f>-'13 Kostnader Elektro'!$Q$48</f>
        <v>-1.6905873015872988</v>
      </c>
      <c r="L183" s="647">
        <f>-'13 Kostnader Elektro'!$Q$48</f>
        <v>-1.6905873015872988</v>
      </c>
      <c r="M183" s="647">
        <f>-'13 Kostnader Elektro'!$Q$48</f>
        <v>-1.6905873015872988</v>
      </c>
      <c r="N183" s="647">
        <f>-'13 Kostnader Elektro'!$Q$48</f>
        <v>-1.6905873015872988</v>
      </c>
      <c r="O183" s="647">
        <f>-'13 Kostnader Elektro'!$Q$48</f>
        <v>-1.6905873015872988</v>
      </c>
    </row>
    <row r="184" spans="2:15" x14ac:dyDescent="0.25">
      <c r="B184" t="s">
        <v>679</v>
      </c>
      <c r="C184" t="s">
        <v>3</v>
      </c>
      <c r="D184" s="592">
        <f>'15 Levetider og rente'!$E$12</f>
        <v>15</v>
      </c>
      <c r="E184" s="592">
        <f>'15 Levetider og rente'!$E$12</f>
        <v>15</v>
      </c>
      <c r="F184">
        <f>'15 Levetider og rente'!$E$12</f>
        <v>15</v>
      </c>
      <c r="G184">
        <f>'15 Levetider og rente'!$E$12</f>
        <v>15</v>
      </c>
      <c r="H184">
        <f>'15 Levetider og rente'!$E$12</f>
        <v>15</v>
      </c>
      <c r="I184">
        <f>'15 Levetider og rente'!$E$12</f>
        <v>15</v>
      </c>
      <c r="J184">
        <f>'15 Levetider og rente'!$E$12</f>
        <v>15</v>
      </c>
      <c r="K184">
        <f>'15 Levetider og rente'!$E$12</f>
        <v>15</v>
      </c>
      <c r="L184">
        <f>'15 Levetider og rente'!$E$12</f>
        <v>15</v>
      </c>
      <c r="M184">
        <f>'15 Levetider og rente'!$E$12</f>
        <v>15</v>
      </c>
      <c r="N184">
        <f>'15 Levetider og rente'!$E$12</f>
        <v>15</v>
      </c>
      <c r="O184">
        <f>'15 Levetider og rente'!$E$12</f>
        <v>15</v>
      </c>
    </row>
    <row r="185" spans="2:15" x14ac:dyDescent="0.25">
      <c r="C185" t="s">
        <v>143</v>
      </c>
      <c r="D185" s="593">
        <f>'15 Levetider og rente'!$F$12</f>
        <v>15</v>
      </c>
      <c r="E185" s="593">
        <f>'15 Levetider og rente'!$F$12</f>
        <v>15</v>
      </c>
      <c r="F185" s="555">
        <f>'15 Levetider og rente'!$F$12</f>
        <v>15</v>
      </c>
      <c r="G185" s="555">
        <f>'15 Levetider og rente'!$F$12</f>
        <v>15</v>
      </c>
      <c r="H185" s="555">
        <f>'15 Levetider og rente'!$F$12</f>
        <v>15</v>
      </c>
      <c r="I185" s="555">
        <f>'15 Levetider og rente'!$F$12</f>
        <v>15</v>
      </c>
      <c r="J185" s="555">
        <f>'15 Levetider og rente'!$F$12</f>
        <v>15</v>
      </c>
      <c r="K185" s="555">
        <f>'15 Levetider og rente'!$F$12</f>
        <v>15</v>
      </c>
      <c r="L185" s="555">
        <f>'15 Levetider og rente'!$F$12</f>
        <v>15</v>
      </c>
      <c r="M185" s="555">
        <f>'15 Levetider og rente'!$F$12</f>
        <v>15</v>
      </c>
      <c r="N185" s="555">
        <f>'15 Levetider og rente'!$F$12</f>
        <v>15</v>
      </c>
      <c r="O185" s="555">
        <f>'15 Levetider og rente'!$F$12</f>
        <v>15</v>
      </c>
    </row>
    <row r="186" spans="2:15" x14ac:dyDescent="0.25">
      <c r="C186" t="s">
        <v>4</v>
      </c>
      <c r="D186" s="592">
        <f>'15 Levetider og rente'!$G$12</f>
        <v>15</v>
      </c>
      <c r="E186" s="592">
        <f>'15 Levetider og rente'!$G$12</f>
        <v>15</v>
      </c>
      <c r="F186">
        <f>'15 Levetider og rente'!$G$12</f>
        <v>15</v>
      </c>
      <c r="G186">
        <f>'15 Levetider og rente'!$G$12</f>
        <v>15</v>
      </c>
      <c r="H186">
        <f>'15 Levetider og rente'!$G$12</f>
        <v>15</v>
      </c>
      <c r="I186">
        <f>'15 Levetider og rente'!$G$12</f>
        <v>15</v>
      </c>
      <c r="J186">
        <f>'15 Levetider og rente'!$G$12</f>
        <v>15</v>
      </c>
      <c r="K186">
        <f>'15 Levetider og rente'!$G$12</f>
        <v>15</v>
      </c>
      <c r="L186">
        <f>'15 Levetider og rente'!$G$12</f>
        <v>15</v>
      </c>
      <c r="M186">
        <f>'15 Levetider og rente'!$G$12</f>
        <v>15</v>
      </c>
      <c r="N186">
        <f>'15 Levetider og rente'!$G$12</f>
        <v>15</v>
      </c>
      <c r="O186">
        <f>'15 Levetider og rente'!$G$12</f>
        <v>15</v>
      </c>
    </row>
    <row r="187" spans="2:15" x14ac:dyDescent="0.25">
      <c r="B187" t="s">
        <v>680</v>
      </c>
      <c r="C187" t="s">
        <v>3</v>
      </c>
      <c r="D187" s="594">
        <f>'15 Levetider og rente'!$B$12</f>
        <v>0.06</v>
      </c>
      <c r="E187" s="594">
        <f>'15 Levetider og rente'!$B$12</f>
        <v>0.06</v>
      </c>
      <c r="F187" s="485">
        <f>'15 Levetider og rente'!$B$12</f>
        <v>0.06</v>
      </c>
      <c r="G187" s="485">
        <f>'15 Levetider og rente'!$B$12</f>
        <v>0.06</v>
      </c>
      <c r="H187" s="485">
        <f>'15 Levetider og rente'!$B$12</f>
        <v>0.06</v>
      </c>
      <c r="I187" s="485">
        <f>'15 Levetider og rente'!$B$12</f>
        <v>0.06</v>
      </c>
      <c r="J187" s="485">
        <f>'15 Levetider og rente'!$B$12</f>
        <v>0.06</v>
      </c>
      <c r="K187" s="485">
        <f>'15 Levetider og rente'!$B$12</f>
        <v>0.06</v>
      </c>
      <c r="L187" s="485">
        <f>'15 Levetider og rente'!$B$12</f>
        <v>0.06</v>
      </c>
      <c r="M187" s="485">
        <f>'15 Levetider og rente'!$B$12</f>
        <v>0.06</v>
      </c>
      <c r="N187" s="485">
        <f>'15 Levetider og rente'!$B$12</f>
        <v>0.06</v>
      </c>
      <c r="O187" s="485">
        <f>'15 Levetider og rente'!$B$12</f>
        <v>0.06</v>
      </c>
    </row>
    <row r="188" spans="2:15" x14ac:dyDescent="0.25">
      <c r="C188" t="s">
        <v>143</v>
      </c>
      <c r="D188" s="594">
        <f>'15 Levetider og rente'!$C$12</f>
        <v>0.06</v>
      </c>
      <c r="E188" s="594">
        <f>'15 Levetider og rente'!$C$12</f>
        <v>0.06</v>
      </c>
      <c r="F188" s="485">
        <f>'15 Levetider og rente'!$C$12</f>
        <v>0.06</v>
      </c>
      <c r="G188" s="485">
        <f>'15 Levetider og rente'!$C$12</f>
        <v>0.06</v>
      </c>
      <c r="H188" s="485">
        <f>'15 Levetider og rente'!$C$12</f>
        <v>0.06</v>
      </c>
      <c r="I188" s="485">
        <f>'15 Levetider og rente'!$C$12</f>
        <v>0.06</v>
      </c>
      <c r="J188" s="485">
        <f>'15 Levetider og rente'!$C$12</f>
        <v>0.06</v>
      </c>
      <c r="K188" s="485">
        <f>'15 Levetider og rente'!$C$12</f>
        <v>0.06</v>
      </c>
      <c r="L188" s="485">
        <f>'15 Levetider og rente'!$C$12</f>
        <v>0.06</v>
      </c>
      <c r="M188" s="485">
        <f>'15 Levetider og rente'!$C$12</f>
        <v>0.06</v>
      </c>
      <c r="N188" s="485">
        <f>'15 Levetider og rente'!$C$12</f>
        <v>0.06</v>
      </c>
      <c r="O188" s="485">
        <f>'15 Levetider og rente'!$C$12</f>
        <v>0.06</v>
      </c>
    </row>
    <row r="189" spans="2:15" x14ac:dyDescent="0.25">
      <c r="C189" t="s">
        <v>4</v>
      </c>
      <c r="D189" s="594">
        <f>'15 Levetider og rente'!$D$12</f>
        <v>0.06</v>
      </c>
      <c r="E189" s="594">
        <f>'15 Levetider og rente'!$D$12</f>
        <v>0.06</v>
      </c>
      <c r="F189" s="485">
        <f>'15 Levetider og rente'!$D$12</f>
        <v>0.06</v>
      </c>
      <c r="G189" s="485">
        <f>'15 Levetider og rente'!$D$12</f>
        <v>0.06</v>
      </c>
      <c r="H189" s="485">
        <f>'15 Levetider og rente'!$D$12</f>
        <v>0.06</v>
      </c>
      <c r="I189" s="485">
        <f>'15 Levetider og rente'!$D$12</f>
        <v>0.06</v>
      </c>
      <c r="J189" s="485">
        <f>'15 Levetider og rente'!$D$12</f>
        <v>0.06</v>
      </c>
      <c r="K189" s="485">
        <f>'15 Levetider og rente'!$D$12</f>
        <v>0.06</v>
      </c>
      <c r="L189" s="485">
        <f>'15 Levetider og rente'!$D$12</f>
        <v>0.06</v>
      </c>
      <c r="M189" s="485">
        <f>'15 Levetider og rente'!$D$12</f>
        <v>0.06</v>
      </c>
      <c r="N189" s="485">
        <f>'15 Levetider og rente'!$D$12</f>
        <v>0.06</v>
      </c>
      <c r="O189" s="485">
        <f>'15 Levetider og rente'!$D$12</f>
        <v>0.06</v>
      </c>
    </row>
    <row r="190" spans="2:15" x14ac:dyDescent="0.25">
      <c r="B190" t="s">
        <v>753</v>
      </c>
      <c r="C190" t="s">
        <v>3</v>
      </c>
      <c r="D190" s="563"/>
      <c r="E190" s="563"/>
      <c r="F190" s="564">
        <f>(F178-PV(F187,F186,F181))/-PV(F187,F186,F177)</f>
        <v>10.886439745990437</v>
      </c>
      <c r="G190" s="564">
        <f t="shared" ref="G190:O190" si="40">(G178-PV(G187,G186,G181))/-PV(G187,G186,G177)</f>
        <v>1.2171581196011692</v>
      </c>
      <c r="H190" s="564">
        <f t="shared" si="40"/>
        <v>10.126318784982789</v>
      </c>
      <c r="I190" s="564">
        <f t="shared" si="40"/>
        <v>1.5845913126173978</v>
      </c>
      <c r="J190" s="564">
        <f t="shared" si="40"/>
        <v>1.3103681048848559</v>
      </c>
      <c r="K190" s="564">
        <f>(K178-PV(K187,K186,K181))/-PV(K187,K186,K177)</f>
        <v>7.92436187927873</v>
      </c>
      <c r="L190" s="564">
        <f t="shared" si="40"/>
        <v>0.66067305016684963</v>
      </c>
      <c r="M190" s="564">
        <f t="shared" si="40"/>
        <v>11.007245080048598</v>
      </c>
      <c r="N190" s="564">
        <f t="shared" si="40"/>
        <v>0.37280482288653799</v>
      </c>
      <c r="O190" s="564">
        <f t="shared" si="40"/>
        <v>2.5182962353043705</v>
      </c>
    </row>
    <row r="191" spans="2:15" x14ac:dyDescent="0.25">
      <c r="C191" t="s">
        <v>143</v>
      </c>
      <c r="D191" s="563"/>
      <c r="E191" s="563"/>
      <c r="F191" s="564">
        <f>(F179-PV(F188,F185,F182))/-PV(F188,F185,F176)</f>
        <v>12.239107041243512</v>
      </c>
      <c r="G191" s="564">
        <f t="shared" ref="G191:O191" si="41">(G179-PV(G188,G185,G182))/-PV(G188,G185,G176)</f>
        <v>3.5800174115750187</v>
      </c>
      <c r="H191" s="564">
        <f t="shared" si="41"/>
        <v>14.899309128050984</v>
      </c>
      <c r="I191" s="564">
        <f t="shared" si="41"/>
        <v>3.8674796517407959</v>
      </c>
      <c r="J191" s="564">
        <f t="shared" si="41"/>
        <v>2.487651949117343</v>
      </c>
      <c r="K191" s="564">
        <f>(K179-PV(K188,K185,K182))/-PV(K188,K185,K176)</f>
        <v>9.8920014061677186</v>
      </c>
      <c r="L191" s="564">
        <f t="shared" si="41"/>
        <v>1.9973433701249086</v>
      </c>
      <c r="M191" s="564">
        <f t="shared" si="41"/>
        <v>16.855476013364672</v>
      </c>
      <c r="N191" s="564">
        <f t="shared" si="41"/>
        <v>1.7463673373903525</v>
      </c>
      <c r="O191" s="564">
        <f t="shared" si="41"/>
        <v>5.3010652364094852</v>
      </c>
    </row>
    <row r="192" spans="2:15" x14ac:dyDescent="0.25">
      <c r="C192" t="s">
        <v>4</v>
      </c>
      <c r="D192" s="563"/>
      <c r="E192" s="563"/>
      <c r="F192" s="564">
        <f>(F180-PV(F189,F184,F183))/-PV(F189,F184,F175)</f>
        <v>55.860309062511931</v>
      </c>
      <c r="G192" s="564">
        <f t="shared" ref="G192:L192" si="42">(G180-PV(G189,G184,G183))/-PV(G189,G184,G175)</f>
        <v>13.768778199204752</v>
      </c>
      <c r="H192" s="564">
        <f t="shared" si="42"/>
        <v>66.417197342631354</v>
      </c>
      <c r="I192" s="564">
        <f t="shared" si="42"/>
        <v>13.663335494045088</v>
      </c>
      <c r="J192" s="564">
        <f t="shared" si="42"/>
        <v>7.0262101228306184</v>
      </c>
      <c r="K192" s="564">
        <f t="shared" si="42"/>
        <v>37.366662925963013</v>
      </c>
      <c r="L192" s="564">
        <f t="shared" si="42"/>
        <v>11.459009431480174</v>
      </c>
      <c r="M192" s="564">
        <f>(M180-PV(M189,M184,M183))/-PV(M189,M184,M175)</f>
        <v>49.276900639591403</v>
      </c>
      <c r="N192" s="564">
        <f>(N180-PV(N189,N184,N183))/-PV(N189,N184,N175)</f>
        <v>6.9303480906349693</v>
      </c>
      <c r="O192" s="564">
        <f>(O180-PV(O189,O184,O183))/-PV(O189,O184,O175)</f>
        <v>17.021907591033258</v>
      </c>
    </row>
    <row r="194" spans="1:15" x14ac:dyDescent="0.25">
      <c r="A194" s="404" t="s">
        <v>516</v>
      </c>
      <c r="B194" t="s">
        <v>676</v>
      </c>
      <c r="C194" t="s">
        <v>3</v>
      </c>
      <c r="D194" s="591">
        <f>'8 Lav energibesparelse'!D298</f>
        <v>0</v>
      </c>
      <c r="E194" s="591">
        <f>'8 Lav energibesparelse'!F298</f>
        <v>0</v>
      </c>
      <c r="F194" s="630">
        <f>'8 Lav energibesparelse'!H298</f>
        <v>1.7999999999999989</v>
      </c>
      <c r="G194" s="630">
        <f>'8 Lav energibesparelse'!J298</f>
        <v>12.600000000000001</v>
      </c>
      <c r="H194" s="630">
        <f>'8 Lav energibesparelse'!L298</f>
        <v>2.0999999999999979</v>
      </c>
      <c r="I194" s="630">
        <f>'8 Lav energibesparelse'!N298</f>
        <v>11.000000000000004</v>
      </c>
      <c r="J194" s="630">
        <f>'8 Lav energibesparelse'!P298</f>
        <v>17.500000000000004</v>
      </c>
      <c r="K194" s="630">
        <f>'8 Lav energibesparelse'!R298</f>
        <v>2.6000000000000014</v>
      </c>
      <c r="L194" s="630">
        <f>'8 Lav energibesparelse'!T298</f>
        <v>29.200000000000003</v>
      </c>
      <c r="M194" s="630">
        <f>'8 Lav energibesparelse'!V298</f>
        <v>1.0999999999999996</v>
      </c>
      <c r="N194" s="630">
        <f>'8 Lav energibesparelse'!X298</f>
        <v>28.1</v>
      </c>
      <c r="O194" s="630">
        <f>'8 Lav energibesparelse'!Z298</f>
        <v>5.8000000000000007</v>
      </c>
    </row>
    <row r="195" spans="1:15" x14ac:dyDescent="0.25">
      <c r="C195" t="s">
        <v>143</v>
      </c>
      <c r="D195" s="591">
        <f>'9 Median energibesparelse'!D298</f>
        <v>0</v>
      </c>
      <c r="E195" s="591">
        <f>'9 Median energibesparelse'!F298</f>
        <v>0</v>
      </c>
      <c r="F195" s="630">
        <f>'9 Median energibesparelse'!H298</f>
        <v>2.8000000000000114</v>
      </c>
      <c r="G195" s="630">
        <f>'9 Median energibesparelse'!J298</f>
        <v>14.099999999999998</v>
      </c>
      <c r="H195" s="630">
        <f>'9 Median energibesparelse'!L298</f>
        <v>2.7999999999999865</v>
      </c>
      <c r="I195" s="630">
        <f>'9 Median energibesparelse'!N298</f>
        <v>12.3</v>
      </c>
      <c r="J195" s="630">
        <f>'9 Median energibesparelse'!P298</f>
        <v>19.200000000000003</v>
      </c>
      <c r="K195" s="630">
        <f>'9 Median energibesparelse'!R298</f>
        <v>4.2000000000000028</v>
      </c>
      <c r="L195" s="630">
        <f>'9 Median energibesparelse'!T298</f>
        <v>31.9</v>
      </c>
      <c r="M195" s="630">
        <f>'9 Median energibesparelse'!V298</f>
        <v>1.4999999999999822</v>
      </c>
      <c r="N195" s="630">
        <f>'9 Median energibesparelse'!X298</f>
        <v>31.6</v>
      </c>
      <c r="O195" s="630">
        <f>'9 Median energibesparelse'!Z298</f>
        <v>6.5</v>
      </c>
    </row>
    <row r="196" spans="1:15" x14ac:dyDescent="0.25">
      <c r="C196" t="s">
        <v>4</v>
      </c>
      <c r="D196" s="591">
        <f>'10 Høy energibesparelse'!D298</f>
        <v>0</v>
      </c>
      <c r="E196" s="591">
        <f>'10 Høy energibesparelse'!F298</f>
        <v>0</v>
      </c>
      <c r="F196" s="630">
        <f>'10 Høy energibesparelse'!H298</f>
        <v>1.4000000000000128</v>
      </c>
      <c r="G196" s="630">
        <f>'10 Høy energibesparelse'!J298</f>
        <v>15.599999999999998</v>
      </c>
      <c r="H196" s="630">
        <f>'10 Høy energibesparelse'!L298</f>
        <v>1.9999999999999858</v>
      </c>
      <c r="I196" s="630">
        <f>'10 Høy energibesparelse'!N298</f>
        <v>13.7</v>
      </c>
      <c r="J196" s="630">
        <f>'10 Høy energibesparelse'!P298</f>
        <v>20.799999999999997</v>
      </c>
      <c r="K196" s="630">
        <f>'10 Høy energibesparelse'!R298</f>
        <v>2.3000000000000256</v>
      </c>
      <c r="L196" s="630">
        <f>'10 Høy energibesparelse'!T298</f>
        <v>34.700000000000003</v>
      </c>
      <c r="M196" s="630">
        <f>'10 Høy energibesparelse'!V298</f>
        <v>1.2999999999999901</v>
      </c>
      <c r="N196" s="630">
        <f>'10 Høy energibesparelse'!X298</f>
        <v>35.100000000000009</v>
      </c>
      <c r="O196" s="630">
        <f>'10 Høy energibesparelse'!Z298</f>
        <v>7.3000000000000007</v>
      </c>
    </row>
    <row r="197" spans="1:15" x14ac:dyDescent="0.25">
      <c r="B197" t="s">
        <v>677</v>
      </c>
      <c r="C197" t="s">
        <v>3</v>
      </c>
      <c r="D197" s="592">
        <f>'13 Kostnader Elektro'!$F$23</f>
        <v>0</v>
      </c>
      <c r="E197" s="592">
        <f>'13 Kostnader Elektro'!$F$24</f>
        <v>0</v>
      </c>
      <c r="F197" s="555">
        <f>'13 Kostnader Elektro'!$F$25</f>
        <v>83.843283582089555</v>
      </c>
      <c r="G197" s="555">
        <f>'13 Kostnader Elektro'!$F$26</f>
        <v>70</v>
      </c>
      <c r="H197" s="555">
        <f>'13 Kostnader Elektro'!$F$27</f>
        <v>74.179104477611958</v>
      </c>
      <c r="I197" s="555">
        <f>'13 Kostnader Elektro'!$F$28</f>
        <v>90.111940298507477</v>
      </c>
      <c r="J197" s="555">
        <f>'13 Kostnader Elektro'!$F$29</f>
        <v>130.59701492537314</v>
      </c>
      <c r="K197" s="555">
        <f>'13 Kostnader Elektro'!$F$30</f>
        <v>109.44029850746267</v>
      </c>
      <c r="L197" s="555">
        <f>'13 Kostnader Elektro'!$F$31</f>
        <v>67.388059701492537</v>
      </c>
      <c r="M197" s="555">
        <f>'13 Kostnader Elektro'!$F$32</f>
        <v>82.53731343283583</v>
      </c>
      <c r="N197" s="555">
        <f>'13 Kostnader Elektro'!$F$33</f>
        <v>49.104477611940297</v>
      </c>
      <c r="O197" s="555">
        <f>'13 Kostnader Elektro'!$F$34</f>
        <v>132.1641791044776</v>
      </c>
    </row>
    <row r="198" spans="1:15" x14ac:dyDescent="0.25">
      <c r="C198" t="s">
        <v>143</v>
      </c>
      <c r="D198" s="592">
        <f>'13 Kostnader Elektro'!$G$23</f>
        <v>0</v>
      </c>
      <c r="E198" s="592">
        <f>'13 Kostnader Elektro'!$G$24</f>
        <v>0</v>
      </c>
      <c r="F198" s="555">
        <f>'13 Kostnader Elektro'!$G$25</f>
        <v>123.1578947368421</v>
      </c>
      <c r="G198" s="555">
        <f>'13 Kostnader Elektro'!$G$26</f>
        <v>130</v>
      </c>
      <c r="H198" s="555">
        <f>'13 Kostnader Elektro'!$G$27</f>
        <v>108.17042606516291</v>
      </c>
      <c r="I198" s="555">
        <f>'13 Kostnader Elektro'!$G$28</f>
        <v>140.10025062656644</v>
      </c>
      <c r="J198" s="555">
        <f>'13 Kostnader Elektro'!$G$29</f>
        <v>162.90726817042605</v>
      </c>
      <c r="K198" s="555">
        <f>'13 Kostnader Elektro'!$G$30</f>
        <v>157.04260651629073</v>
      </c>
      <c r="L198" s="555">
        <f>'13 Kostnader Elektro'!$G$31</f>
        <v>131.62907268170426</v>
      </c>
      <c r="M198" s="555">
        <f>'13 Kostnader Elektro'!$G$32</f>
        <v>117.61904761904763</v>
      </c>
      <c r="N198" s="555">
        <f>'13 Kostnader Elektro'!$G$33</f>
        <v>141.72932330827066</v>
      </c>
      <c r="O198" s="555">
        <f>'13 Kostnader Elektro'!$G$34</f>
        <v>175.93984962406017</v>
      </c>
    </row>
    <row r="199" spans="1:15" x14ac:dyDescent="0.25">
      <c r="C199" t="s">
        <v>4</v>
      </c>
      <c r="D199" s="592">
        <f>'13 Kostnader Elektro'!$H$23</f>
        <v>0</v>
      </c>
      <c r="E199" s="592">
        <f>'13 Kostnader Elektro'!$H$24</f>
        <v>0</v>
      </c>
      <c r="F199" s="555">
        <f>'13 Kostnader Elektro'!$H$25</f>
        <v>392.64080100125159</v>
      </c>
      <c r="G199" s="555">
        <f>'13 Kostnader Elektro'!$H$26</f>
        <v>460</v>
      </c>
      <c r="H199" s="555">
        <f>'13 Kostnader Elektro'!$H$27</f>
        <v>430.06257822277848</v>
      </c>
      <c r="I199" s="555">
        <f>'13 Kostnader Elektro'!$H$28</f>
        <v>456.54568210262829</v>
      </c>
      <c r="J199" s="555">
        <f>'13 Kostnader Elektro'!$H$29</f>
        <v>443.30413016270336</v>
      </c>
      <c r="K199" s="555">
        <f>'13 Kostnader Elektro'!$H$30</f>
        <v>443.30413016270336</v>
      </c>
      <c r="L199" s="555">
        <f>'13 Kostnader Elektro'!$H$31</f>
        <v>717.34668335419269</v>
      </c>
      <c r="M199" s="555">
        <f>'13 Kostnader Elektro'!$H$32</f>
        <v>295.3441802252816</v>
      </c>
      <c r="N199" s="555">
        <f>'13 Kostnader Elektro'!$H$33</f>
        <v>521.60200250312892</v>
      </c>
      <c r="O199" s="555">
        <f>'13 Kostnader Elektro'!$H$34</f>
        <v>521.60200250312892</v>
      </c>
    </row>
    <row r="200" spans="1:15" x14ac:dyDescent="0.25">
      <c r="B200" t="s">
        <v>678</v>
      </c>
      <c r="C200" t="s">
        <v>3</v>
      </c>
      <c r="D200" s="592">
        <v>0</v>
      </c>
      <c r="E200" s="592">
        <v>0</v>
      </c>
      <c r="F200" s="647">
        <f>-'13 Kostnader Elektro'!$Q$48</f>
        <v>-1.6905873015872988</v>
      </c>
      <c r="G200" s="647">
        <f>-'13 Kostnader Elektro'!$Q$48</f>
        <v>-1.6905873015872988</v>
      </c>
      <c r="H200" s="647">
        <f>-'13 Kostnader Elektro'!$Q$48</f>
        <v>-1.6905873015872988</v>
      </c>
      <c r="I200" s="647">
        <f>-'13 Kostnader Elektro'!$Q$48</f>
        <v>-1.6905873015872988</v>
      </c>
      <c r="J200" s="647">
        <f>-'13 Kostnader Elektro'!$Q$48</f>
        <v>-1.6905873015872988</v>
      </c>
      <c r="K200" s="647">
        <f>-'13 Kostnader Elektro'!$Q$48</f>
        <v>-1.6905873015872988</v>
      </c>
      <c r="L200" s="647">
        <f>-'13 Kostnader Elektro'!$Q$48</f>
        <v>-1.6905873015872988</v>
      </c>
      <c r="M200" s="647">
        <f>-'13 Kostnader Elektro'!$Q$48</f>
        <v>-1.6905873015872988</v>
      </c>
      <c r="N200" s="647">
        <f>-'13 Kostnader Elektro'!$Q$48</f>
        <v>-1.6905873015872988</v>
      </c>
      <c r="O200" s="647">
        <f>-'13 Kostnader Elektro'!$Q$48</f>
        <v>-1.6905873015872988</v>
      </c>
    </row>
    <row r="201" spans="1:15" x14ac:dyDescent="0.25">
      <c r="C201" t="s">
        <v>143</v>
      </c>
      <c r="D201" s="592">
        <v>0</v>
      </c>
      <c r="E201" s="592">
        <v>0</v>
      </c>
      <c r="F201" s="647">
        <f>-'13 Kostnader Elektro'!$Q$48</f>
        <v>-1.6905873015872988</v>
      </c>
      <c r="G201" s="647">
        <f>-'13 Kostnader Elektro'!$Q$48</f>
        <v>-1.6905873015872988</v>
      </c>
      <c r="H201" s="647">
        <f>-'13 Kostnader Elektro'!$Q$48</f>
        <v>-1.6905873015872988</v>
      </c>
      <c r="I201" s="647">
        <f>-'13 Kostnader Elektro'!$Q$48</f>
        <v>-1.6905873015872988</v>
      </c>
      <c r="J201" s="647">
        <f>-'13 Kostnader Elektro'!$Q$48</f>
        <v>-1.6905873015872988</v>
      </c>
      <c r="K201" s="647">
        <f>-'13 Kostnader Elektro'!$Q$48</f>
        <v>-1.6905873015872988</v>
      </c>
      <c r="L201" s="647">
        <f>-'13 Kostnader Elektro'!$Q$48</f>
        <v>-1.6905873015872988</v>
      </c>
      <c r="M201" s="647">
        <f>-'13 Kostnader Elektro'!$Q$48</f>
        <v>-1.6905873015872988</v>
      </c>
      <c r="N201" s="647">
        <f>-'13 Kostnader Elektro'!$Q$48</f>
        <v>-1.6905873015872988</v>
      </c>
      <c r="O201" s="647">
        <f>-'13 Kostnader Elektro'!$Q$48</f>
        <v>-1.6905873015872988</v>
      </c>
    </row>
    <row r="202" spans="1:15" x14ac:dyDescent="0.25">
      <c r="C202" t="s">
        <v>4</v>
      </c>
      <c r="D202" s="592">
        <v>0</v>
      </c>
      <c r="E202" s="592">
        <v>0</v>
      </c>
      <c r="F202" s="647">
        <f>-'13 Kostnader Elektro'!$Q$48</f>
        <v>-1.6905873015872988</v>
      </c>
      <c r="G202" s="647">
        <f>-'13 Kostnader Elektro'!$Q$48</f>
        <v>-1.6905873015872988</v>
      </c>
      <c r="H202" s="647">
        <f>-'13 Kostnader Elektro'!$Q$48</f>
        <v>-1.6905873015872988</v>
      </c>
      <c r="I202" s="647">
        <f>-'13 Kostnader Elektro'!$Q$48</f>
        <v>-1.6905873015872988</v>
      </c>
      <c r="J202" s="647">
        <f>-'13 Kostnader Elektro'!$Q$48</f>
        <v>-1.6905873015872988</v>
      </c>
      <c r="K202" s="647">
        <f>-'13 Kostnader Elektro'!$Q$48</f>
        <v>-1.6905873015872988</v>
      </c>
      <c r="L202" s="647">
        <f>-'13 Kostnader Elektro'!$Q$48</f>
        <v>-1.6905873015872988</v>
      </c>
      <c r="M202" s="647">
        <f>-'13 Kostnader Elektro'!$Q$48</f>
        <v>-1.6905873015872988</v>
      </c>
      <c r="N202" s="647">
        <f>-'13 Kostnader Elektro'!$Q$48</f>
        <v>-1.6905873015872988</v>
      </c>
      <c r="O202" s="647">
        <f>-'13 Kostnader Elektro'!$Q$48</f>
        <v>-1.6905873015872988</v>
      </c>
    </row>
    <row r="203" spans="1:15" x14ac:dyDescent="0.25">
      <c r="B203" t="s">
        <v>679</v>
      </c>
      <c r="C203" t="s">
        <v>3</v>
      </c>
      <c r="D203" s="592">
        <f>'15 Levetider og rente'!$E$13</f>
        <v>15</v>
      </c>
      <c r="E203" s="592">
        <f>'15 Levetider og rente'!$E$13</f>
        <v>15</v>
      </c>
      <c r="F203">
        <f>'15 Levetider og rente'!$E$13</f>
        <v>15</v>
      </c>
      <c r="G203">
        <f>'15 Levetider og rente'!$E$13</f>
        <v>15</v>
      </c>
      <c r="H203">
        <f>'15 Levetider og rente'!$E$13</f>
        <v>15</v>
      </c>
      <c r="I203">
        <f>'15 Levetider og rente'!$E$13</f>
        <v>15</v>
      </c>
      <c r="J203">
        <f>'15 Levetider og rente'!$E$13</f>
        <v>15</v>
      </c>
      <c r="K203">
        <f>'15 Levetider og rente'!$E$13</f>
        <v>15</v>
      </c>
      <c r="L203">
        <f>'15 Levetider og rente'!$E$13</f>
        <v>15</v>
      </c>
      <c r="M203">
        <f>'15 Levetider og rente'!$E$13</f>
        <v>15</v>
      </c>
      <c r="N203">
        <f>'15 Levetider og rente'!$E$13</f>
        <v>15</v>
      </c>
      <c r="O203">
        <f>'15 Levetider og rente'!$E$13</f>
        <v>15</v>
      </c>
    </row>
    <row r="204" spans="1:15" x14ac:dyDescent="0.25">
      <c r="C204" t="s">
        <v>143</v>
      </c>
      <c r="D204" s="593">
        <f>'15 Levetider og rente'!$F$13</f>
        <v>15</v>
      </c>
      <c r="E204" s="593">
        <f>'15 Levetider og rente'!$F$13</f>
        <v>15</v>
      </c>
      <c r="F204" s="555">
        <f>'15 Levetider og rente'!$F$13</f>
        <v>15</v>
      </c>
      <c r="G204" s="555">
        <f>'15 Levetider og rente'!$F$13</f>
        <v>15</v>
      </c>
      <c r="H204" s="555">
        <f>'15 Levetider og rente'!$F$13</f>
        <v>15</v>
      </c>
      <c r="I204" s="555">
        <f>'15 Levetider og rente'!$F$13</f>
        <v>15</v>
      </c>
      <c r="J204" s="555">
        <f>'15 Levetider og rente'!$F$13</f>
        <v>15</v>
      </c>
      <c r="K204" s="555">
        <f>'15 Levetider og rente'!$F$13</f>
        <v>15</v>
      </c>
      <c r="L204" s="555">
        <f>'15 Levetider og rente'!$F$13</f>
        <v>15</v>
      </c>
      <c r="M204" s="555">
        <f>'15 Levetider og rente'!$F$13</f>
        <v>15</v>
      </c>
      <c r="N204" s="555">
        <f>'15 Levetider og rente'!$F$13</f>
        <v>15</v>
      </c>
      <c r="O204" s="555">
        <f>'15 Levetider og rente'!$F$13</f>
        <v>15</v>
      </c>
    </row>
    <row r="205" spans="1:15" x14ac:dyDescent="0.25">
      <c r="C205" t="s">
        <v>4</v>
      </c>
      <c r="D205" s="592">
        <f>'15 Levetider og rente'!$G$13</f>
        <v>15</v>
      </c>
      <c r="E205" s="592">
        <f>'15 Levetider og rente'!$G$13</f>
        <v>15</v>
      </c>
      <c r="F205">
        <f>'15 Levetider og rente'!$G$13</f>
        <v>15</v>
      </c>
      <c r="G205">
        <f>'15 Levetider og rente'!$G$13</f>
        <v>15</v>
      </c>
      <c r="H205">
        <f>'15 Levetider og rente'!$G$13</f>
        <v>15</v>
      </c>
      <c r="I205">
        <f>'15 Levetider og rente'!$G$13</f>
        <v>15</v>
      </c>
      <c r="J205">
        <f>'15 Levetider og rente'!$G$13</f>
        <v>15</v>
      </c>
      <c r="K205">
        <f>'15 Levetider og rente'!$G$13</f>
        <v>15</v>
      </c>
      <c r="L205">
        <f>'15 Levetider og rente'!$G$13</f>
        <v>15</v>
      </c>
      <c r="M205">
        <f>'15 Levetider og rente'!$G$13</f>
        <v>15</v>
      </c>
      <c r="N205">
        <f>'15 Levetider og rente'!$G$13</f>
        <v>15</v>
      </c>
      <c r="O205">
        <f>'15 Levetider og rente'!$G$13</f>
        <v>15</v>
      </c>
    </row>
    <row r="206" spans="1:15" x14ac:dyDescent="0.25">
      <c r="B206" t="s">
        <v>680</v>
      </c>
      <c r="C206" t="s">
        <v>3</v>
      </c>
      <c r="D206" s="594">
        <f>'15 Levetider og rente'!$B$13</f>
        <v>0.06</v>
      </c>
      <c r="E206" s="594">
        <f>'15 Levetider og rente'!$B$13</f>
        <v>0.06</v>
      </c>
      <c r="F206" s="485">
        <f>'15 Levetider og rente'!$B$13</f>
        <v>0.06</v>
      </c>
      <c r="G206" s="485">
        <f>'15 Levetider og rente'!$B$13</f>
        <v>0.06</v>
      </c>
      <c r="H206" s="485">
        <f>'15 Levetider og rente'!$B$13</f>
        <v>0.06</v>
      </c>
      <c r="I206" s="485">
        <f>'15 Levetider og rente'!$B$13</f>
        <v>0.06</v>
      </c>
      <c r="J206" s="485">
        <f>'15 Levetider og rente'!$B$13</f>
        <v>0.06</v>
      </c>
      <c r="K206" s="485">
        <f>'15 Levetider og rente'!$B$13</f>
        <v>0.06</v>
      </c>
      <c r="L206" s="485">
        <f>'15 Levetider og rente'!$B$13</f>
        <v>0.06</v>
      </c>
      <c r="M206" s="485">
        <f>'15 Levetider og rente'!$B$13</f>
        <v>0.06</v>
      </c>
      <c r="N206" s="485">
        <f>'15 Levetider og rente'!$B$13</f>
        <v>0.06</v>
      </c>
      <c r="O206" s="485">
        <f>'15 Levetider og rente'!$B$13</f>
        <v>0.06</v>
      </c>
    </row>
    <row r="207" spans="1:15" x14ac:dyDescent="0.25">
      <c r="C207" t="s">
        <v>143</v>
      </c>
      <c r="D207" s="594">
        <f>'15 Levetider og rente'!$C$13</f>
        <v>0.06</v>
      </c>
      <c r="E207" s="594">
        <f>'15 Levetider og rente'!$C$13</f>
        <v>0.06</v>
      </c>
      <c r="F207" s="485">
        <f>'15 Levetider og rente'!$C$13</f>
        <v>0.06</v>
      </c>
      <c r="G207" s="485">
        <f>'15 Levetider og rente'!$C$13</f>
        <v>0.06</v>
      </c>
      <c r="H207" s="485">
        <f>'15 Levetider og rente'!$C$13</f>
        <v>0.06</v>
      </c>
      <c r="I207" s="485">
        <f>'15 Levetider og rente'!$C$13</f>
        <v>0.06</v>
      </c>
      <c r="J207" s="485">
        <f>'15 Levetider og rente'!$C$13</f>
        <v>0.06</v>
      </c>
      <c r="K207" s="485">
        <f>'15 Levetider og rente'!$C$13</f>
        <v>0.06</v>
      </c>
      <c r="L207" s="485">
        <f>'15 Levetider og rente'!$C$13</f>
        <v>0.06</v>
      </c>
      <c r="M207" s="485">
        <f>'15 Levetider og rente'!$C$13</f>
        <v>0.06</v>
      </c>
      <c r="N207" s="485">
        <f>'15 Levetider og rente'!$C$13</f>
        <v>0.06</v>
      </c>
      <c r="O207" s="485">
        <f>'15 Levetider og rente'!$C$13</f>
        <v>0.06</v>
      </c>
    </row>
    <row r="208" spans="1:15" x14ac:dyDescent="0.25">
      <c r="C208" t="s">
        <v>4</v>
      </c>
      <c r="D208" s="594">
        <f>'15 Levetider og rente'!$D$13</f>
        <v>0.06</v>
      </c>
      <c r="E208" s="594">
        <f>'15 Levetider og rente'!$D$13</f>
        <v>0.06</v>
      </c>
      <c r="F208" s="485">
        <f>'15 Levetider og rente'!$D$13</f>
        <v>0.06</v>
      </c>
      <c r="G208" s="485">
        <f>'15 Levetider og rente'!$D$13</f>
        <v>0.06</v>
      </c>
      <c r="H208" s="485">
        <f>'15 Levetider og rente'!$D$13</f>
        <v>0.06</v>
      </c>
      <c r="I208" s="485">
        <f>'15 Levetider og rente'!$D$13</f>
        <v>0.06</v>
      </c>
      <c r="J208" s="485">
        <f>'15 Levetider og rente'!$D$13</f>
        <v>0.06</v>
      </c>
      <c r="K208" s="485">
        <f>'15 Levetider og rente'!$D$13</f>
        <v>0.06</v>
      </c>
      <c r="L208" s="485">
        <f>'15 Levetider og rente'!$D$13</f>
        <v>0.06</v>
      </c>
      <c r="M208" s="485">
        <f>'15 Levetider og rente'!$D$13</f>
        <v>0.06</v>
      </c>
      <c r="N208" s="485">
        <f>'15 Levetider og rente'!$D$13</f>
        <v>0.06</v>
      </c>
      <c r="O208" s="485">
        <f>'15 Levetider og rente'!$D$13</f>
        <v>0.06</v>
      </c>
    </row>
    <row r="209" spans="1:15" x14ac:dyDescent="0.25">
      <c r="B209" t="s">
        <v>753</v>
      </c>
      <c r="C209" t="s">
        <v>3</v>
      </c>
      <c r="D209" s="563"/>
      <c r="E209" s="563"/>
      <c r="F209" s="564">
        <f>(F197-PV(F206,F205,F200))/-PV(F206,F205,F196)</f>
        <v>4.9586777965097584</v>
      </c>
      <c r="G209" s="564">
        <f t="shared" ref="G209:O209" si="43">(G197-PV(G206,G205,G200))/-PV(G206,G205,G196)</f>
        <v>0.35364142149260158</v>
      </c>
      <c r="H209" s="564">
        <f t="shared" si="43"/>
        <v>2.9735491615787888</v>
      </c>
      <c r="I209" s="564">
        <f t="shared" si="43"/>
        <v>0.5538384771476752</v>
      </c>
      <c r="J209" s="564">
        <f t="shared" si="43"/>
        <v>0.56519434228088161</v>
      </c>
      <c r="K209" s="564">
        <f t="shared" si="43"/>
        <v>4.1642123134067068</v>
      </c>
      <c r="L209" s="564">
        <f t="shared" si="43"/>
        <v>0.15123554993844357</v>
      </c>
      <c r="M209" s="564">
        <f t="shared" si="43"/>
        <v>5.2366789376180636</v>
      </c>
      <c r="N209" s="564">
        <f t="shared" si="43"/>
        <v>9.587878734814366E-2</v>
      </c>
      <c r="O209" s="564">
        <f t="shared" si="43"/>
        <v>1.6325208047800941</v>
      </c>
    </row>
    <row r="210" spans="1:15" x14ac:dyDescent="0.25">
      <c r="C210" t="s">
        <v>143</v>
      </c>
      <c r="D210" s="563"/>
      <c r="E210" s="563"/>
      <c r="F210" s="564">
        <f t="shared" ref="F210:O210" si="44">(F198-PV(F207,F204,F201))/-PV(F207,F204,F195)</f>
        <v>3.9250321226554883</v>
      </c>
      <c r="G210" s="564">
        <f t="shared" si="44"/>
        <v>0.82940227039740022</v>
      </c>
      <c r="H210" s="564">
        <f t="shared" si="44"/>
        <v>3.373906694394897</v>
      </c>
      <c r="I210" s="564">
        <f t="shared" si="44"/>
        <v>1.0353269702240651</v>
      </c>
      <c r="J210" s="564">
        <f t="shared" si="44"/>
        <v>0.78556225508589017</v>
      </c>
      <c r="K210" s="564">
        <f t="shared" si="44"/>
        <v>3.4473698866848985</v>
      </c>
      <c r="L210" s="564">
        <f t="shared" si="44"/>
        <v>0.37185911719735759</v>
      </c>
      <c r="M210" s="564">
        <f t="shared" si="44"/>
        <v>6.9465299567076677</v>
      </c>
      <c r="N210" s="564">
        <f t="shared" si="44"/>
        <v>0.40829922657431517</v>
      </c>
      <c r="O210" s="564">
        <f t="shared" si="44"/>
        <v>2.5268716777827707</v>
      </c>
    </row>
    <row r="211" spans="1:15" x14ac:dyDescent="0.25">
      <c r="C211" t="s">
        <v>4</v>
      </c>
      <c r="D211" s="563"/>
      <c r="E211" s="563"/>
      <c r="F211" s="564">
        <f t="shared" ref="F211:O211" si="45">(F199-PV(F208,F203,F202))/-PV(F208,F203,F194)</f>
        <v>21.520441561738593</v>
      </c>
      <c r="G211" s="564">
        <f t="shared" si="45"/>
        <v>3.6247844537981351</v>
      </c>
      <c r="H211" s="564">
        <f t="shared" si="45"/>
        <v>20.280878298084694</v>
      </c>
      <c r="I211" s="564">
        <f t="shared" si="45"/>
        <v>4.1196925454148001</v>
      </c>
      <c r="J211" s="564">
        <f t="shared" si="45"/>
        <v>2.511613212158303</v>
      </c>
      <c r="K211" s="564">
        <f t="shared" si="45"/>
        <v>16.905088927988572</v>
      </c>
      <c r="L211" s="564">
        <f t="shared" si="45"/>
        <v>2.4715551346142743</v>
      </c>
      <c r="M211" s="564">
        <f t="shared" si="45"/>
        <v>26.10805982956699</v>
      </c>
      <c r="N211" s="564">
        <f t="shared" si="45"/>
        <v>1.8510674932655069</v>
      </c>
      <c r="O211" s="564">
        <f t="shared" si="45"/>
        <v>8.9681028553035773</v>
      </c>
    </row>
    <row r="212" spans="1:15" x14ac:dyDescent="0.25">
      <c r="D212" s="611"/>
      <c r="E212" s="611"/>
      <c r="F212" s="564"/>
      <c r="G212" s="564"/>
      <c r="H212" s="564"/>
      <c r="I212" s="564"/>
      <c r="J212" s="564"/>
      <c r="K212" s="564"/>
      <c r="L212" s="564"/>
      <c r="M212" s="564"/>
      <c r="N212" s="564"/>
      <c r="O212" s="564"/>
    </row>
    <row r="213" spans="1:15" x14ac:dyDescent="0.25">
      <c r="D213" t="s">
        <v>11</v>
      </c>
      <c r="E213" t="s">
        <v>1</v>
      </c>
      <c r="F213" s="1" t="s">
        <v>97</v>
      </c>
      <c r="G213" s="78" t="s">
        <v>1094</v>
      </c>
      <c r="H213" s="78" t="s">
        <v>102</v>
      </c>
      <c r="I213" s="78" t="s">
        <v>1096</v>
      </c>
      <c r="J213" s="78" t="s">
        <v>1093</v>
      </c>
      <c r="K213" s="78" t="str">
        <f>+I3</f>
        <v>Universitet og høgskole</v>
      </c>
      <c r="L213" s="15" t="s">
        <v>101</v>
      </c>
      <c r="M213" s="78" t="s">
        <v>862</v>
      </c>
      <c r="N213" s="78" t="s">
        <v>1097</v>
      </c>
      <c r="O213" s="78" t="s">
        <v>1098</v>
      </c>
    </row>
    <row r="214" spans="1:15" x14ac:dyDescent="0.25">
      <c r="A214" t="s">
        <v>586</v>
      </c>
      <c r="B214" t="s">
        <v>676</v>
      </c>
      <c r="C214" t="s">
        <v>3</v>
      </c>
      <c r="D214" s="591">
        <f>'8 Lav energibesparelse'!D337</f>
        <v>0</v>
      </c>
      <c r="E214" s="591">
        <f>'8 Lav energibesparelse'!F337</f>
        <v>0</v>
      </c>
      <c r="F214" s="591">
        <f>'8 Lav energibesparelse'!H337</f>
        <v>0</v>
      </c>
      <c r="G214" s="591">
        <f>'8 Lav energibesparelse'!L337</f>
        <v>0</v>
      </c>
      <c r="H214" s="591">
        <f>'8 Lav energibesparelse'!R337</f>
        <v>0</v>
      </c>
      <c r="I214" s="591">
        <f>'8 Lav energibesparelse'!V337</f>
        <v>0</v>
      </c>
      <c r="J214" s="630">
        <f>'8 Lav energibesparelse'!J337</f>
        <v>2.8</v>
      </c>
      <c r="K214" s="630">
        <f>'8 Lav energibesparelse'!N337</f>
        <v>1.5</v>
      </c>
      <c r="L214" s="630">
        <f>'8 Lav energibesparelse'!P337</f>
        <v>0</v>
      </c>
      <c r="M214" s="630">
        <f>'8 Lav energibesparelse'!T337</f>
        <v>0.10000000000000003</v>
      </c>
      <c r="N214" s="630">
        <f>'8 Lav energibesparelse'!X337</f>
        <v>1.1999999999999997</v>
      </c>
      <c r="O214" s="630">
        <f>'8 Lav energibesparelse'!Z337</f>
        <v>0.7</v>
      </c>
    </row>
    <row r="215" spans="1:15" x14ac:dyDescent="0.25">
      <c r="C215" t="s">
        <v>143</v>
      </c>
      <c r="D215" s="591">
        <f>'9 Median energibesparelse'!D337</f>
        <v>0</v>
      </c>
      <c r="E215" s="591">
        <f>'9 Median energibesparelse'!F337</f>
        <v>0</v>
      </c>
      <c r="F215" s="591">
        <f>'9 Median energibesparelse'!H337</f>
        <v>0</v>
      </c>
      <c r="G215" s="591">
        <f>'9 Median energibesparelse'!L337</f>
        <v>0</v>
      </c>
      <c r="H215" s="591">
        <f>'9 Median energibesparelse'!R337</f>
        <v>0</v>
      </c>
      <c r="I215" s="591">
        <f>'9 Median energibesparelse'!V337</f>
        <v>0</v>
      </c>
      <c r="J215" s="630">
        <f>'9 Median energibesparelse'!J337</f>
        <v>3.6999999999999993</v>
      </c>
      <c r="K215" s="630">
        <f>'9 Median energibesparelse'!N337</f>
        <v>2.2999999999999989</v>
      </c>
      <c r="L215" s="630">
        <f>'9 Median energibesparelse'!P337</f>
        <v>0.70000000000000018</v>
      </c>
      <c r="M215" s="630">
        <f>'9 Median energibesparelse'!T337</f>
        <v>1.3000000000000007</v>
      </c>
      <c r="N215" s="630">
        <f>'9 Median energibesparelse'!X337</f>
        <v>2.2999999999999989</v>
      </c>
      <c r="O215" s="630">
        <f>'9 Median energibesparelse'!Z337</f>
        <v>2.8</v>
      </c>
    </row>
    <row r="216" spans="1:15" x14ac:dyDescent="0.25">
      <c r="C216" t="s">
        <v>4</v>
      </c>
      <c r="D216" s="591">
        <f>'10 Høy energibesparelse'!D340</f>
        <v>0</v>
      </c>
      <c r="E216" s="591">
        <f>'10 Høy energibesparelse'!F340</f>
        <v>0</v>
      </c>
      <c r="F216" s="591">
        <f>'10 Høy energibesparelse'!H340</f>
        <v>0</v>
      </c>
      <c r="G216" s="591">
        <f>'10 Høy energibesparelse'!L340</f>
        <v>0</v>
      </c>
      <c r="H216" s="591">
        <f>'10 Høy energibesparelse'!R340</f>
        <v>0</v>
      </c>
      <c r="I216" s="591">
        <f>'10 Høy energibesparelse'!V340</f>
        <v>0</v>
      </c>
      <c r="J216" s="630">
        <f>'10 Høy energibesparelse'!J340</f>
        <v>13.5</v>
      </c>
      <c r="K216" s="630">
        <f>'10 Høy energibesparelse'!N340</f>
        <v>9.1999999999999993</v>
      </c>
      <c r="L216" s="630">
        <f>'10 Høy energibesparelse'!P340</f>
        <v>4.6000000000000005</v>
      </c>
      <c r="M216" s="630">
        <f>'10 Høy energibesparelse'!T340</f>
        <v>4.0999999999999996</v>
      </c>
      <c r="N216" s="630">
        <f>'10 Høy energibesparelse'!X340</f>
        <v>7.3999999999999995</v>
      </c>
      <c r="O216" s="630">
        <f>'10 Høy energibesparelse'!Z340</f>
        <v>2.8000000000000003</v>
      </c>
    </row>
    <row r="217" spans="1:15" x14ac:dyDescent="0.25">
      <c r="B217" t="s">
        <v>677</v>
      </c>
      <c r="C217" t="s">
        <v>3</v>
      </c>
      <c r="D217" s="592">
        <f>'14 Kostnader Automasjon'!$F$35</f>
        <v>0</v>
      </c>
      <c r="E217" s="592">
        <f>'14 Kostnader Automasjon'!$F$36</f>
        <v>0</v>
      </c>
      <c r="F217" s="592">
        <f>'14 Kostnader Automasjon'!$F$37</f>
        <v>0</v>
      </c>
      <c r="G217" s="593">
        <f>'14 Kostnader Automasjon'!$F$39</f>
        <v>0</v>
      </c>
      <c r="H217" s="593">
        <f>'14 Kostnader Automasjon'!$F$42</f>
        <v>0</v>
      </c>
      <c r="I217" s="593">
        <f>'14 Kostnader Automasjon'!$F$44</f>
        <v>0</v>
      </c>
      <c r="J217" s="616">
        <f>'14 Kostnader Automasjon'!$F$38</f>
        <v>8.9925353955555547</v>
      </c>
      <c r="K217" s="616">
        <f>'14 Kostnader Automasjon'!$F$40</f>
        <v>8.9925353955555547</v>
      </c>
      <c r="L217" s="616">
        <f>'14 Kostnader Automasjon'!$F$41</f>
        <v>8.9925353955555547</v>
      </c>
      <c r="M217" s="616">
        <f>'14 Kostnader Automasjon'!$F$43</f>
        <v>13.488803093333333</v>
      </c>
      <c r="N217" s="616">
        <f>'14 Kostnader Automasjon'!$F$45</f>
        <v>8.9925353955555547</v>
      </c>
      <c r="O217" s="616">
        <f>'14 Kostnader Automasjon'!$F$46</f>
        <v>13.488803093333333</v>
      </c>
    </row>
    <row r="218" spans="1:15" x14ac:dyDescent="0.25">
      <c r="C218" t="s">
        <v>143</v>
      </c>
      <c r="D218" s="592">
        <f>'14 Kostnader Automasjon'!$G$35</f>
        <v>0</v>
      </c>
      <c r="E218" s="592">
        <f>'14 Kostnader Automasjon'!$G$36</f>
        <v>0</v>
      </c>
      <c r="F218" s="592">
        <f>'14 Kostnader Automasjon'!$G$37</f>
        <v>0</v>
      </c>
      <c r="G218" s="593">
        <f>'14 Kostnader Automasjon'!$G$39</f>
        <v>0</v>
      </c>
      <c r="H218" s="593">
        <f>'14 Kostnader Automasjon'!$G$42</f>
        <v>0</v>
      </c>
      <c r="I218" s="593">
        <f>'14 Kostnader Automasjon'!$G$44</f>
        <v>0</v>
      </c>
      <c r="J218" s="616">
        <f>'14 Kostnader Automasjon'!$G$38</f>
        <v>99.434781986666664</v>
      </c>
      <c r="K218" s="616">
        <f>'14 Kostnader Automasjon'!$G$40</f>
        <v>99.434781986666664</v>
      </c>
      <c r="L218" s="616">
        <f>'14 Kostnader Automasjon'!$G$41</f>
        <v>99.434781986666664</v>
      </c>
      <c r="M218" s="616">
        <f>'14 Kostnader Automasjon'!$G$43</f>
        <v>103.80736028</v>
      </c>
      <c r="N218" s="616">
        <f>'14 Kostnader Automasjon'!$G$45</f>
        <v>99.434781986666664</v>
      </c>
      <c r="O218" s="616">
        <f>'14 Kostnader Automasjon'!$G$46</f>
        <v>103.80736028</v>
      </c>
    </row>
    <row r="219" spans="1:15" x14ac:dyDescent="0.25">
      <c r="C219" t="s">
        <v>4</v>
      </c>
      <c r="D219" s="592">
        <f>'14 Kostnader Automasjon'!$H$35</f>
        <v>0</v>
      </c>
      <c r="E219" s="592">
        <f>'14 Kostnader Automasjon'!$H$36</f>
        <v>0</v>
      </c>
      <c r="F219" s="592">
        <f>'14 Kostnader Automasjon'!$H$37</f>
        <v>0</v>
      </c>
      <c r="G219" s="593">
        <f>'14 Kostnader Automasjon'!$H$39</f>
        <v>0</v>
      </c>
      <c r="H219" s="593">
        <f>'14 Kostnader Automasjon'!$H$42</f>
        <v>0</v>
      </c>
      <c r="I219" s="593">
        <f>'14 Kostnader Automasjon'!$H$44</f>
        <v>0</v>
      </c>
      <c r="J219" s="616">
        <f>'14 Kostnader Automasjon'!$H$38</f>
        <v>189.87702857777776</v>
      </c>
      <c r="K219" s="616">
        <f>'14 Kostnader Automasjon'!$H$40</f>
        <v>189.87702857777776</v>
      </c>
      <c r="L219" s="616">
        <f>'14 Kostnader Automasjon'!$H$41</f>
        <v>189.87702857777776</v>
      </c>
      <c r="M219" s="616">
        <f>'14 Kostnader Automasjon'!$H$43</f>
        <v>194.12591746666666</v>
      </c>
      <c r="N219" s="616">
        <f>'14 Kostnader Automasjon'!$H$45</f>
        <v>189.87702857777776</v>
      </c>
      <c r="O219" s="616">
        <f>'14 Kostnader Automasjon'!$H$46</f>
        <v>194.12591746666666</v>
      </c>
    </row>
    <row r="220" spans="1:15" x14ac:dyDescent="0.25">
      <c r="B220" t="s">
        <v>678</v>
      </c>
      <c r="C220" t="s">
        <v>3</v>
      </c>
      <c r="D220" s="592">
        <v>0</v>
      </c>
      <c r="E220" s="592">
        <v>0</v>
      </c>
      <c r="F220" s="592">
        <v>0</v>
      </c>
      <c r="G220" s="592">
        <v>0</v>
      </c>
      <c r="H220" s="592">
        <v>0</v>
      </c>
      <c r="I220" s="592">
        <v>0</v>
      </c>
      <c r="J220" s="404">
        <v>0</v>
      </c>
      <c r="K220" s="404">
        <v>0</v>
      </c>
      <c r="L220" s="404">
        <v>0</v>
      </c>
      <c r="M220" s="404">
        <v>0</v>
      </c>
      <c r="N220" s="404">
        <v>0</v>
      </c>
      <c r="O220" s="404">
        <v>0</v>
      </c>
    </row>
    <row r="221" spans="1:15" x14ac:dyDescent="0.25">
      <c r="C221" t="s">
        <v>143</v>
      </c>
      <c r="D221" s="592">
        <v>0</v>
      </c>
      <c r="E221" s="592">
        <v>0</v>
      </c>
      <c r="F221" s="592">
        <v>0</v>
      </c>
      <c r="G221" s="592">
        <v>0</v>
      </c>
      <c r="H221" s="592">
        <v>0</v>
      </c>
      <c r="I221" s="592">
        <v>0</v>
      </c>
      <c r="J221" s="404">
        <v>0</v>
      </c>
      <c r="K221" s="404">
        <v>0</v>
      </c>
      <c r="L221" s="404">
        <v>0</v>
      </c>
      <c r="M221" s="404">
        <v>0</v>
      </c>
      <c r="N221" s="404">
        <v>0</v>
      </c>
      <c r="O221" s="404">
        <v>0</v>
      </c>
    </row>
    <row r="222" spans="1:15" x14ac:dyDescent="0.25">
      <c r="C222" t="s">
        <v>4</v>
      </c>
      <c r="D222" s="592">
        <v>0</v>
      </c>
      <c r="E222" s="592">
        <v>0</v>
      </c>
      <c r="F222" s="592">
        <v>0</v>
      </c>
      <c r="G222" s="592">
        <v>0</v>
      </c>
      <c r="H222" s="592">
        <v>0</v>
      </c>
      <c r="I222" s="592">
        <v>0</v>
      </c>
      <c r="J222" s="404">
        <v>0</v>
      </c>
      <c r="K222" s="404">
        <v>0</v>
      </c>
      <c r="L222" s="404">
        <v>0</v>
      </c>
      <c r="M222" s="404">
        <v>0</v>
      </c>
      <c r="N222" s="404">
        <v>0</v>
      </c>
      <c r="O222" s="404">
        <v>0</v>
      </c>
    </row>
    <row r="223" spans="1:15" x14ac:dyDescent="0.25">
      <c r="B223" t="s">
        <v>679</v>
      </c>
      <c r="C223" t="s">
        <v>3</v>
      </c>
      <c r="D223" s="592">
        <f>'15 Levetider og rente'!$E$15</f>
        <v>15</v>
      </c>
      <c r="E223" s="592">
        <f>'15 Levetider og rente'!$E$15</f>
        <v>15</v>
      </c>
      <c r="F223" s="592">
        <f>'15 Levetider og rente'!$E$15</f>
        <v>15</v>
      </c>
      <c r="G223" s="592">
        <f>'15 Levetider og rente'!$E$15</f>
        <v>15</v>
      </c>
      <c r="H223" s="592">
        <f>'15 Levetider og rente'!$E$15</f>
        <v>15</v>
      </c>
      <c r="I223" s="592">
        <f>'15 Levetider og rente'!$E$15</f>
        <v>15</v>
      </c>
      <c r="J223" s="404">
        <f>'15 Levetider og rente'!$E$15</f>
        <v>15</v>
      </c>
      <c r="K223" s="404">
        <f>'15 Levetider og rente'!$E$15</f>
        <v>15</v>
      </c>
      <c r="L223" s="404">
        <f>'15 Levetider og rente'!$E$15</f>
        <v>15</v>
      </c>
      <c r="M223" s="404">
        <f>'15 Levetider og rente'!$E$15</f>
        <v>15</v>
      </c>
      <c r="N223" s="404">
        <f>'15 Levetider og rente'!$E$15</f>
        <v>15</v>
      </c>
      <c r="O223" s="404">
        <f>'15 Levetider og rente'!$E$15</f>
        <v>15</v>
      </c>
    </row>
    <row r="224" spans="1:15" x14ac:dyDescent="0.25">
      <c r="C224" t="s">
        <v>143</v>
      </c>
      <c r="D224" s="593">
        <f>'15 Levetider og rente'!$F$15</f>
        <v>15</v>
      </c>
      <c r="E224" s="593">
        <f>'15 Levetider og rente'!$F$15</f>
        <v>15</v>
      </c>
      <c r="F224" s="593">
        <f>'15 Levetider og rente'!$F$15</f>
        <v>15</v>
      </c>
      <c r="G224" s="593">
        <f>'15 Levetider og rente'!$F$15</f>
        <v>15</v>
      </c>
      <c r="H224" s="593">
        <f>'15 Levetider og rente'!$F$15</f>
        <v>15</v>
      </c>
      <c r="I224" s="593">
        <f>'15 Levetider og rente'!$F$15</f>
        <v>15</v>
      </c>
      <c r="J224" s="616">
        <f>'15 Levetider og rente'!$F$15</f>
        <v>15</v>
      </c>
      <c r="K224" s="616">
        <f>'15 Levetider og rente'!$F$15</f>
        <v>15</v>
      </c>
      <c r="L224" s="616">
        <f>'15 Levetider og rente'!$F$15</f>
        <v>15</v>
      </c>
      <c r="M224" s="616">
        <f>'15 Levetider og rente'!$F$15</f>
        <v>15</v>
      </c>
      <c r="N224" s="616">
        <f>'15 Levetider og rente'!$F$15</f>
        <v>15</v>
      </c>
      <c r="O224" s="616">
        <f>'15 Levetider og rente'!$F$15</f>
        <v>15</v>
      </c>
    </row>
    <row r="225" spans="1:15" x14ac:dyDescent="0.25">
      <c r="C225" t="s">
        <v>4</v>
      </c>
      <c r="D225" s="592">
        <f>'15 Levetider og rente'!$G$15</f>
        <v>15</v>
      </c>
      <c r="E225" s="592">
        <f>'15 Levetider og rente'!$G$15</f>
        <v>15</v>
      </c>
      <c r="F225" s="592">
        <f>'15 Levetider og rente'!$G$15</f>
        <v>15</v>
      </c>
      <c r="G225" s="592">
        <f>'15 Levetider og rente'!$G$15</f>
        <v>15</v>
      </c>
      <c r="H225" s="592">
        <f>'15 Levetider og rente'!$G$15</f>
        <v>15</v>
      </c>
      <c r="I225" s="592">
        <f>'15 Levetider og rente'!$G$15</f>
        <v>15</v>
      </c>
      <c r="J225" s="404">
        <f>'15 Levetider og rente'!$G$15</f>
        <v>15</v>
      </c>
      <c r="K225" s="404">
        <f>'15 Levetider og rente'!$G$15</f>
        <v>15</v>
      </c>
      <c r="L225" s="404">
        <f>'15 Levetider og rente'!$G$15</f>
        <v>15</v>
      </c>
      <c r="M225" s="404">
        <f>'15 Levetider og rente'!$G$15</f>
        <v>15</v>
      </c>
      <c r="N225" s="404">
        <f>'15 Levetider og rente'!$G$15</f>
        <v>15</v>
      </c>
      <c r="O225" s="404">
        <f>'15 Levetider og rente'!$G$15</f>
        <v>15</v>
      </c>
    </row>
    <row r="226" spans="1:15" x14ac:dyDescent="0.25">
      <c r="B226" t="s">
        <v>680</v>
      </c>
      <c r="C226" t="s">
        <v>3</v>
      </c>
      <c r="D226" s="594">
        <f>'15 Levetider og rente'!$B$15</f>
        <v>0.06</v>
      </c>
      <c r="E226" s="594">
        <f>'15 Levetider og rente'!$B$15</f>
        <v>0.06</v>
      </c>
      <c r="F226" s="594">
        <f>'15 Levetider og rente'!$B$15</f>
        <v>0.06</v>
      </c>
      <c r="G226" s="594">
        <f>'15 Levetider og rente'!$B$15</f>
        <v>0.06</v>
      </c>
      <c r="H226" s="594">
        <f>'15 Levetider og rente'!$B$15</f>
        <v>0.06</v>
      </c>
      <c r="I226" s="594">
        <f>'15 Levetider og rente'!$B$15</f>
        <v>0.06</v>
      </c>
      <c r="J226" s="655">
        <f>'15 Levetider og rente'!$B$15</f>
        <v>0.06</v>
      </c>
      <c r="K226" s="655">
        <f>'15 Levetider og rente'!$B$15</f>
        <v>0.06</v>
      </c>
      <c r="L226" s="655">
        <f>'15 Levetider og rente'!$B$15</f>
        <v>0.06</v>
      </c>
      <c r="M226" s="655">
        <f>'15 Levetider og rente'!$B$15</f>
        <v>0.06</v>
      </c>
      <c r="N226" s="655">
        <f>'15 Levetider og rente'!$B$15</f>
        <v>0.06</v>
      </c>
      <c r="O226" s="655">
        <f>'15 Levetider og rente'!$B$15</f>
        <v>0.06</v>
      </c>
    </row>
    <row r="227" spans="1:15" x14ac:dyDescent="0.25">
      <c r="C227" t="s">
        <v>143</v>
      </c>
      <c r="D227" s="594">
        <f>'15 Levetider og rente'!$C$15</f>
        <v>0.06</v>
      </c>
      <c r="E227" s="594">
        <f>'15 Levetider og rente'!$C$15</f>
        <v>0.06</v>
      </c>
      <c r="F227" s="594">
        <f>'15 Levetider og rente'!$C$15</f>
        <v>0.06</v>
      </c>
      <c r="G227" s="594">
        <f>'15 Levetider og rente'!$C$15</f>
        <v>0.06</v>
      </c>
      <c r="H227" s="594">
        <f>'15 Levetider og rente'!$C$15</f>
        <v>0.06</v>
      </c>
      <c r="I227" s="594">
        <f>'15 Levetider og rente'!$C$15</f>
        <v>0.06</v>
      </c>
      <c r="J227" s="655">
        <f>'15 Levetider og rente'!$C$15</f>
        <v>0.06</v>
      </c>
      <c r="K227" s="655">
        <f>'15 Levetider og rente'!$C$15</f>
        <v>0.06</v>
      </c>
      <c r="L227" s="655">
        <f>'15 Levetider og rente'!$C$15</f>
        <v>0.06</v>
      </c>
      <c r="M227" s="655">
        <f>'15 Levetider og rente'!$C$15</f>
        <v>0.06</v>
      </c>
      <c r="N227" s="655">
        <f>'15 Levetider og rente'!$C$15</f>
        <v>0.06</v>
      </c>
      <c r="O227" s="655">
        <f>'15 Levetider og rente'!$C$15</f>
        <v>0.06</v>
      </c>
    </row>
    <row r="228" spans="1:15" x14ac:dyDescent="0.25">
      <c r="C228" t="s">
        <v>4</v>
      </c>
      <c r="D228" s="594">
        <f>'15 Levetider og rente'!$D$15</f>
        <v>0.06</v>
      </c>
      <c r="E228" s="594">
        <f>'15 Levetider og rente'!$D$15</f>
        <v>0.06</v>
      </c>
      <c r="F228" s="594">
        <f>'15 Levetider og rente'!$D$15</f>
        <v>0.06</v>
      </c>
      <c r="G228" s="594">
        <f>'15 Levetider og rente'!$D$15</f>
        <v>0.06</v>
      </c>
      <c r="H228" s="594">
        <f>'15 Levetider og rente'!$D$15</f>
        <v>0.06</v>
      </c>
      <c r="I228" s="594">
        <f>'15 Levetider og rente'!$D$15</f>
        <v>0.06</v>
      </c>
      <c r="J228" s="655">
        <f>'15 Levetider og rente'!$D$15</f>
        <v>0.06</v>
      </c>
      <c r="K228" s="655">
        <f>'15 Levetider og rente'!$D$15</f>
        <v>0.06</v>
      </c>
      <c r="L228" s="655">
        <f>'15 Levetider og rente'!$D$15</f>
        <v>0.06</v>
      </c>
      <c r="M228" s="655">
        <f>'15 Levetider og rente'!$D$15</f>
        <v>0.06</v>
      </c>
      <c r="N228" s="655">
        <f>'15 Levetider og rente'!$D$15</f>
        <v>0.06</v>
      </c>
      <c r="O228" s="655">
        <f>'15 Levetider og rente'!$D$15</f>
        <v>0.06</v>
      </c>
    </row>
    <row r="229" spans="1:15" x14ac:dyDescent="0.25">
      <c r="B229" t="s">
        <v>753</v>
      </c>
      <c r="C229" t="s">
        <v>3</v>
      </c>
      <c r="D229" s="595"/>
      <c r="E229" s="595"/>
      <c r="F229" s="595"/>
      <c r="G229" s="595"/>
      <c r="H229" s="595"/>
      <c r="I229" s="595"/>
      <c r="J229" s="627">
        <f>(J217-PV(J226,J224,J220))/-PV(J226,J224,J215)</f>
        <v>0.25024224305199477</v>
      </c>
      <c r="K229" s="627">
        <f t="shared" ref="K229:O229" si="46">(K217-PV(K226,K224,K220))/-PV(K226,K224,K215)</f>
        <v>0.40256360838799171</v>
      </c>
      <c r="L229" s="627">
        <f t="shared" si="46"/>
        <v>1.3227089989891145</v>
      </c>
      <c r="M229" s="627">
        <f t="shared" si="46"/>
        <v>1.0683418837988998</v>
      </c>
      <c r="N229" s="627">
        <f t="shared" si="46"/>
        <v>0.40256360838799171</v>
      </c>
      <c r="O229" s="627">
        <f t="shared" si="46"/>
        <v>0.49601587462091806</v>
      </c>
    </row>
    <row r="230" spans="1:15" x14ac:dyDescent="0.25">
      <c r="C230" t="s">
        <v>143</v>
      </c>
      <c r="D230" s="595"/>
      <c r="E230" s="595"/>
      <c r="F230" s="595"/>
      <c r="G230" s="595"/>
      <c r="H230" s="595"/>
      <c r="I230" s="595"/>
      <c r="J230" s="627">
        <f>(J219-PV(J227,J225,J222))/-PV(J227,J225,J216)</f>
        <v>1.448167679554806</v>
      </c>
      <c r="K230" s="627">
        <f t="shared" ref="K230:O230" si="47">(K219-PV(K227,K225,K222))/-PV(K227,K225,K216)</f>
        <v>2.1250286602162913</v>
      </c>
      <c r="L230" s="627">
        <f t="shared" si="47"/>
        <v>4.2500573204325827</v>
      </c>
      <c r="M230" s="627">
        <f t="shared" si="47"/>
        <v>4.8750587848119267</v>
      </c>
      <c r="N230" s="627">
        <f t="shared" si="47"/>
        <v>2.6419275235121464</v>
      </c>
      <c r="O230" s="627">
        <f t="shared" si="47"/>
        <v>7.1384789349031772</v>
      </c>
    </row>
    <row r="231" spans="1:15" x14ac:dyDescent="0.25">
      <c r="C231" t="s">
        <v>4</v>
      </c>
      <c r="D231" s="595"/>
      <c r="E231" s="595"/>
      <c r="F231" s="595"/>
      <c r="G231" s="595"/>
      <c r="H231" s="595"/>
      <c r="I231" s="595"/>
      <c r="J231" s="627">
        <f>(J218-PV(J228,J223,J221))/-PV(J228,J223,J214)</f>
        <v>3.6564571380861182</v>
      </c>
      <c r="K231" s="627">
        <f t="shared" ref="K231:O231" si="48">(K218-PV(K228,K223,K221))/-PV(K228,K223,K214)</f>
        <v>6.8253866577607543</v>
      </c>
      <c r="L231" s="627">
        <v>999</v>
      </c>
      <c r="M231" s="627">
        <f t="shared" si="48"/>
        <v>106.88292733333732</v>
      </c>
      <c r="N231" s="627">
        <f t="shared" si="48"/>
        <v>8.5317333222009442</v>
      </c>
      <c r="O231" s="627">
        <f t="shared" si="48"/>
        <v>15.268989619048192</v>
      </c>
    </row>
    <row r="233" spans="1:15" x14ac:dyDescent="0.25">
      <c r="A233" t="s">
        <v>587</v>
      </c>
      <c r="B233" t="s">
        <v>676</v>
      </c>
      <c r="C233" t="s">
        <v>3</v>
      </c>
      <c r="D233" s="62">
        <f>'8 Lav energibesparelse'!D351</f>
        <v>3.6120000000000005</v>
      </c>
      <c r="E233" s="62">
        <f>'8 Lav energibesparelse'!F351</f>
        <v>3.2060000000000004</v>
      </c>
      <c r="F233" s="62">
        <f>'8 Lav energibesparelse'!H351</f>
        <v>3.5700000000000003</v>
      </c>
      <c r="G233" s="62">
        <f>'8 Lav energibesparelse'!J351</f>
        <v>3.0640000000000001</v>
      </c>
      <c r="H233" s="62">
        <f>'8 Lav energibesparelse'!L351</f>
        <v>3.0119999999999996</v>
      </c>
      <c r="I233" s="62">
        <f>'8 Lav energibesparelse'!N351</f>
        <v>3.3940000000000001</v>
      </c>
      <c r="J233" s="62">
        <f>'8 Lav energibesparelse'!P351</f>
        <v>6.7859999999999996</v>
      </c>
      <c r="K233" s="62">
        <f>'8 Lav energibesparelse'!R351</f>
        <v>5.6480000000000006</v>
      </c>
      <c r="L233" s="62">
        <f>'8 Lav energibesparelse'!T351</f>
        <v>5.1360000000000001</v>
      </c>
      <c r="M233" s="62">
        <f>'8 Lav energibesparelse'!V351</f>
        <v>4.282</v>
      </c>
      <c r="N233" s="62">
        <f>'8 Lav energibesparelse'!X351</f>
        <v>4.782</v>
      </c>
      <c r="O233" s="62">
        <f>'8 Lav energibesparelse'!Z351</f>
        <v>3.5779999999999998</v>
      </c>
    </row>
    <row r="234" spans="1:15" x14ac:dyDescent="0.25">
      <c r="C234" t="s">
        <v>143</v>
      </c>
      <c r="D234" s="62">
        <f>'9 Median energibesparelse'!D351</f>
        <v>12.725000000000001</v>
      </c>
      <c r="E234" s="62">
        <f>'9 Median energibesparelse'!F351</f>
        <v>11.775000000000002</v>
      </c>
      <c r="F234" s="62">
        <f>'9 Median energibesparelse'!H351</f>
        <v>14.205000000000002</v>
      </c>
      <c r="G234" s="62">
        <f>'9 Median energibesparelse'!J351</f>
        <v>13.695</v>
      </c>
      <c r="H234" s="62">
        <f>'9 Median energibesparelse'!L351</f>
        <v>13.100000000000001</v>
      </c>
      <c r="I234" s="62">
        <f>'9 Median energibesparelse'!N351</f>
        <v>15.365</v>
      </c>
      <c r="J234" s="62">
        <f>'9 Median energibesparelse'!P351</f>
        <v>28.540000000000006</v>
      </c>
      <c r="K234" s="62">
        <f>'9 Median energibesparelse'!R351</f>
        <v>21.245000000000001</v>
      </c>
      <c r="L234" s="62">
        <f>'9 Median energibesparelse'!T351</f>
        <v>21.175000000000001</v>
      </c>
      <c r="M234" s="62">
        <f>'9 Median energibesparelse'!V351</f>
        <v>18.98</v>
      </c>
      <c r="N234" s="62">
        <f>'9 Median energibesparelse'!X351</f>
        <v>22.080000000000005</v>
      </c>
      <c r="O234" s="62">
        <f>'9 Median energibesparelse'!Z351</f>
        <v>15.495000000000001</v>
      </c>
    </row>
    <row r="235" spans="1:15" x14ac:dyDescent="0.25">
      <c r="C235" t="s">
        <v>4</v>
      </c>
      <c r="D235" s="62">
        <f>'10 Høy energibesparelse'!D354</f>
        <v>37.911999999999999</v>
      </c>
      <c r="E235" s="62">
        <f>'10 Høy energibesparelse'!F354</f>
        <v>31.208000000000006</v>
      </c>
      <c r="F235" s="62">
        <f>'10 Høy energibesparelse'!H354</f>
        <v>45.807999999999993</v>
      </c>
      <c r="G235" s="62">
        <f>'10 Høy energibesparelse'!J354</f>
        <v>33.128</v>
      </c>
      <c r="H235" s="62">
        <f>'10 Høy energibesparelse'!L354</f>
        <v>36.32</v>
      </c>
      <c r="I235" s="62">
        <f>'10 Høy energibesparelse'!N354</f>
        <v>37.295999999999992</v>
      </c>
      <c r="J235" s="62">
        <f>'10 Høy energibesparelse'!P354</f>
        <v>63.824000000000005</v>
      </c>
      <c r="K235" s="62">
        <f>'10 Høy energibesparelse'!R354</f>
        <v>53.12</v>
      </c>
      <c r="L235" s="62">
        <f>'10 Høy energibesparelse'!T354</f>
        <v>50.328000000000003</v>
      </c>
      <c r="M235" s="62">
        <f>'10 Høy energibesparelse'!V354</f>
        <v>49.671999999999997</v>
      </c>
      <c r="N235" s="62">
        <f>'10 Høy energibesparelse'!X354</f>
        <v>52.031999999999996</v>
      </c>
      <c r="O235" s="62">
        <f>'10 Høy energibesparelse'!Z354</f>
        <v>40.048000000000002</v>
      </c>
    </row>
    <row r="236" spans="1:15" x14ac:dyDescent="0.25">
      <c r="B236" t="s">
        <v>677</v>
      </c>
      <c r="C236" t="s">
        <v>3</v>
      </c>
      <c r="D236" s="555">
        <f>'14 Kostnader Automasjon'!$I$35</f>
        <v>0</v>
      </c>
      <c r="E236" s="555">
        <f>'14 Kostnader Automasjon'!$I$36</f>
        <v>8.2306155555555556</v>
      </c>
      <c r="F236" s="555">
        <f>'14 Kostnader Automasjon'!$I$37</f>
        <v>24.691846666666667</v>
      </c>
      <c r="G236" s="555">
        <f>'14 Kostnader Automasjon'!$I$38</f>
        <v>2.9395055555555554</v>
      </c>
      <c r="H236" s="555">
        <f>'14 Kostnader Automasjon'!$I$39</f>
        <v>4.4092583333333328</v>
      </c>
      <c r="I236" s="555">
        <f>'14 Kostnader Automasjon'!$I$40</f>
        <v>2.9395055555555554</v>
      </c>
      <c r="J236" s="555">
        <f>'14 Kostnader Automasjon'!$I$41</f>
        <v>2.9395055555555554</v>
      </c>
      <c r="K236" s="555">
        <f>'14 Kostnader Automasjon'!$I$42</f>
        <v>4.4092583333333328</v>
      </c>
      <c r="L236" s="555">
        <f>'14 Kostnader Automasjon'!$I$43</f>
        <v>4.4092583333333328</v>
      </c>
      <c r="M236" s="555">
        <f>'14 Kostnader Automasjon'!$I$44</f>
        <v>3.3069437499999998</v>
      </c>
      <c r="N236" s="555">
        <f>'14 Kostnader Automasjon'!$I$45</f>
        <v>2.9395055555555554</v>
      </c>
      <c r="O236" s="555">
        <f>'14 Kostnader Automasjon'!$I$46</f>
        <v>4.4092583333333328</v>
      </c>
    </row>
    <row r="237" spans="1:15" x14ac:dyDescent="0.25">
      <c r="C237" t="s">
        <v>143</v>
      </c>
      <c r="D237" s="555">
        <f>'14 Kostnader Automasjon'!$J$35</f>
        <v>0</v>
      </c>
      <c r="E237" s="555">
        <f>'14 Kostnader Automasjon'!$J$36</f>
        <v>11.758022222222221</v>
      </c>
      <c r="F237" s="555">
        <f>'14 Kostnader Automasjon'!$J$37</f>
        <v>49.383693333333333</v>
      </c>
      <c r="G237" s="555">
        <f>'14 Kostnader Automasjon'!$J$38</f>
        <v>11.758022222222221</v>
      </c>
      <c r="H237" s="555">
        <f>'14 Kostnader Automasjon'!$J$39</f>
        <v>17.637033333333331</v>
      </c>
      <c r="I237" s="555">
        <f>'14 Kostnader Automasjon'!$J$40</f>
        <v>11.758022222222221</v>
      </c>
      <c r="J237" s="555">
        <f>'14 Kostnader Automasjon'!$J$41</f>
        <v>11.758022222222221</v>
      </c>
      <c r="K237" s="555">
        <f>'14 Kostnader Automasjon'!$J$42</f>
        <v>17.637033333333331</v>
      </c>
      <c r="L237" s="555">
        <f>'14 Kostnader Automasjon'!$J$43</f>
        <v>17.637033333333331</v>
      </c>
      <c r="M237" s="555">
        <f>'14 Kostnader Automasjon'!$J$44</f>
        <v>13.227774999999999</v>
      </c>
      <c r="N237" s="555">
        <f>'14 Kostnader Automasjon'!$J$45</f>
        <v>11.758022222222221</v>
      </c>
      <c r="O237" s="555">
        <f>'14 Kostnader Automasjon'!$J$46</f>
        <v>17.637033333333331</v>
      </c>
    </row>
    <row r="238" spans="1:15" x14ac:dyDescent="0.25">
      <c r="C238" t="s">
        <v>4</v>
      </c>
      <c r="D238" s="555">
        <f>'14 Kostnader Automasjon'!$K$35</f>
        <v>66.138874999999999</v>
      </c>
      <c r="E238" s="555">
        <f>'14 Kostnader Automasjon'!$K$36</f>
        <v>317.46659999999997</v>
      </c>
      <c r="F238" s="555">
        <f>'14 Kostnader Automasjon'!$K$37</f>
        <v>158.73329999999999</v>
      </c>
      <c r="G238" s="555">
        <f>'14 Kostnader Automasjon'!$K$38</f>
        <v>84.657759999999996</v>
      </c>
      <c r="H238" s="555">
        <f>'14 Kostnader Automasjon'!$K$39</f>
        <v>84.657759999999996</v>
      </c>
      <c r="I238" s="555">
        <f>'14 Kostnader Automasjon'!$K$40</f>
        <v>84.657759999999996</v>
      </c>
      <c r="J238" s="555">
        <f>'14 Kostnader Automasjon'!$K$41</f>
        <v>84.657759999999996</v>
      </c>
      <c r="K238" s="555">
        <f>'14 Kostnader Automasjon'!$K$42</f>
        <v>84.657759999999996</v>
      </c>
      <c r="L238" s="555">
        <f>'14 Kostnader Automasjon'!$K$43</f>
        <v>84.657759999999996</v>
      </c>
      <c r="M238" s="555">
        <f>'14 Kostnader Automasjon'!$K$44</f>
        <v>52.911099999999998</v>
      </c>
      <c r="N238" s="555">
        <f>'14 Kostnader Automasjon'!$K$45</f>
        <v>84.657759999999996</v>
      </c>
      <c r="O238" s="555">
        <f>'14 Kostnader Automasjon'!$K$46</f>
        <v>63.493319999999997</v>
      </c>
    </row>
    <row r="239" spans="1:15" x14ac:dyDescent="0.25">
      <c r="B239" t="s">
        <v>678</v>
      </c>
      <c r="C239" t="s">
        <v>3</v>
      </c>
      <c r="D239" s="561">
        <f>'14 Kostnader Automasjon'!I51</f>
        <v>0</v>
      </c>
      <c r="E239" s="561">
        <f>'14 Kostnader Automasjon'!I52</f>
        <v>0</v>
      </c>
      <c r="F239" s="561">
        <f>'14 Kostnader Automasjon'!I53</f>
        <v>0</v>
      </c>
      <c r="G239" s="561">
        <f>'14 Kostnader Automasjon'!I54</f>
        <v>0</v>
      </c>
      <c r="H239" s="561">
        <f>'14 Kostnader Automasjon'!I55</f>
        <v>0</v>
      </c>
      <c r="I239" s="561">
        <f>'14 Kostnader Automasjon'!I56</f>
        <v>0</v>
      </c>
      <c r="J239" s="561">
        <f>'14 Kostnader Automasjon'!I57</f>
        <v>0</v>
      </c>
      <c r="K239" s="561">
        <f>'14 Kostnader Automasjon'!I58</f>
        <v>0</v>
      </c>
      <c r="L239" s="561">
        <f>'14 Kostnader Automasjon'!I59</f>
        <v>0</v>
      </c>
      <c r="M239" s="561">
        <f>'14 Kostnader Automasjon'!I60</f>
        <v>0</v>
      </c>
      <c r="N239" s="561">
        <f>'14 Kostnader Automasjon'!I61</f>
        <v>0</v>
      </c>
      <c r="O239" s="561">
        <f>'14 Kostnader Automasjon'!I62</f>
        <v>0</v>
      </c>
    </row>
    <row r="240" spans="1:15" x14ac:dyDescent="0.25">
      <c r="C240" t="s">
        <v>143</v>
      </c>
      <c r="D240" s="561">
        <f>'14 Kostnader Automasjon'!J51</f>
        <v>0</v>
      </c>
      <c r="E240" s="561">
        <f>'14 Kostnader Automasjon'!J52</f>
        <v>3.8888888888888888</v>
      </c>
      <c r="F240" s="561">
        <f>'14 Kostnader Automasjon'!J53</f>
        <v>11.666666666666666</v>
      </c>
      <c r="G240" s="561">
        <f>'14 Kostnader Automasjon'!J54</f>
        <v>0.97222222222222221</v>
      </c>
      <c r="H240" s="561">
        <f>'14 Kostnader Automasjon'!J55</f>
        <v>1.4583333333333333</v>
      </c>
      <c r="I240" s="561">
        <f>'14 Kostnader Automasjon'!J56</f>
        <v>0.97222222222222221</v>
      </c>
      <c r="J240" s="561">
        <f>'14 Kostnader Automasjon'!J57</f>
        <v>0.97222222222222221</v>
      </c>
      <c r="K240" s="561">
        <f>'14 Kostnader Automasjon'!J58</f>
        <v>1.4583333333333333</v>
      </c>
      <c r="L240" s="561">
        <f>'14 Kostnader Automasjon'!J59</f>
        <v>1.4583333333333333</v>
      </c>
      <c r="M240" s="561">
        <f>'14 Kostnader Automasjon'!J60</f>
        <v>1.09375</v>
      </c>
      <c r="N240" s="561">
        <f>'14 Kostnader Automasjon'!J61</f>
        <v>0.97222222222222221</v>
      </c>
      <c r="O240" s="561">
        <f>'14 Kostnader Automasjon'!J62</f>
        <v>1.4583333333333333</v>
      </c>
    </row>
    <row r="241" spans="1:15" x14ac:dyDescent="0.25">
      <c r="C241" t="s">
        <v>4</v>
      </c>
      <c r="D241" s="561">
        <f>'14 Kostnader Automasjon'!K51</f>
        <v>0</v>
      </c>
      <c r="E241" s="561">
        <f>'14 Kostnader Automasjon'!K52</f>
        <v>44.444444444444443</v>
      </c>
      <c r="F241" s="561">
        <f>'14 Kostnader Automasjon'!K53</f>
        <v>25</v>
      </c>
      <c r="G241" s="561">
        <f>'14 Kostnader Automasjon'!K54</f>
        <v>2.0833333333333335</v>
      </c>
      <c r="H241" s="561">
        <f>'14 Kostnader Automasjon'!K55</f>
        <v>3.125</v>
      </c>
      <c r="I241" s="561">
        <f>'14 Kostnader Automasjon'!K56</f>
        <v>2.0833333333333335</v>
      </c>
      <c r="J241" s="561">
        <f>'14 Kostnader Automasjon'!K57</f>
        <v>2.0833333333333335</v>
      </c>
      <c r="K241" s="561">
        <f>'14 Kostnader Automasjon'!K58</f>
        <v>3.125</v>
      </c>
      <c r="L241" s="561">
        <f>'14 Kostnader Automasjon'!K59</f>
        <v>3.125</v>
      </c>
      <c r="M241" s="561">
        <f>'14 Kostnader Automasjon'!K60</f>
        <v>2.34375</v>
      </c>
      <c r="N241" s="561">
        <f>'14 Kostnader Automasjon'!K61</f>
        <v>2.0833333333333335</v>
      </c>
      <c r="O241" s="561">
        <f>'14 Kostnader Automasjon'!K62</f>
        <v>3.125</v>
      </c>
    </row>
    <row r="242" spans="1:15" x14ac:dyDescent="0.25">
      <c r="B242" t="s">
        <v>679</v>
      </c>
      <c r="C242" t="s">
        <v>3</v>
      </c>
      <c r="D242">
        <f>'15 Levetider og rente'!$E$16</f>
        <v>10</v>
      </c>
      <c r="E242">
        <f>'15 Levetider og rente'!$E$16</f>
        <v>10</v>
      </c>
      <c r="F242">
        <f>'15 Levetider og rente'!$E$16</f>
        <v>10</v>
      </c>
      <c r="G242">
        <f>'15 Levetider og rente'!$E$16</f>
        <v>10</v>
      </c>
      <c r="H242">
        <f>'15 Levetider og rente'!$E$16</f>
        <v>10</v>
      </c>
      <c r="I242">
        <f>'15 Levetider og rente'!$E$16</f>
        <v>10</v>
      </c>
      <c r="J242">
        <f>'15 Levetider og rente'!$E$16</f>
        <v>10</v>
      </c>
      <c r="K242">
        <f>'15 Levetider og rente'!$E$16</f>
        <v>10</v>
      </c>
      <c r="L242">
        <f>'15 Levetider og rente'!$E$16</f>
        <v>10</v>
      </c>
      <c r="M242">
        <f>'15 Levetider og rente'!$E$16</f>
        <v>10</v>
      </c>
      <c r="N242">
        <f>'15 Levetider og rente'!$E$16</f>
        <v>10</v>
      </c>
      <c r="O242">
        <f>'15 Levetider og rente'!$E$16</f>
        <v>10</v>
      </c>
    </row>
    <row r="243" spans="1:15" x14ac:dyDescent="0.25">
      <c r="C243" t="s">
        <v>143</v>
      </c>
      <c r="D243" s="555">
        <f>'15 Levetider og rente'!$F$16</f>
        <v>10</v>
      </c>
      <c r="E243" s="555">
        <f>'15 Levetider og rente'!$F$16</f>
        <v>10</v>
      </c>
      <c r="F243" s="555">
        <f>'15 Levetider og rente'!$F$16</f>
        <v>10</v>
      </c>
      <c r="G243" s="555">
        <f>'15 Levetider og rente'!$F$16</f>
        <v>10</v>
      </c>
      <c r="H243" s="555">
        <f>'15 Levetider og rente'!$F$16</f>
        <v>10</v>
      </c>
      <c r="I243" s="555">
        <f>'15 Levetider og rente'!$F$16</f>
        <v>10</v>
      </c>
      <c r="J243" s="555">
        <f>'15 Levetider og rente'!$F$16</f>
        <v>10</v>
      </c>
      <c r="K243" s="555">
        <f>'15 Levetider og rente'!$F$16</f>
        <v>10</v>
      </c>
      <c r="L243" s="555">
        <f>'15 Levetider og rente'!$F$16</f>
        <v>10</v>
      </c>
      <c r="M243" s="555">
        <f>'15 Levetider og rente'!$F$16</f>
        <v>10</v>
      </c>
      <c r="N243" s="555">
        <f>'15 Levetider og rente'!$F$16</f>
        <v>10</v>
      </c>
      <c r="O243" s="555">
        <f>'15 Levetider og rente'!$F$16</f>
        <v>10</v>
      </c>
    </row>
    <row r="244" spans="1:15" x14ac:dyDescent="0.25">
      <c r="C244" t="s">
        <v>4</v>
      </c>
      <c r="D244">
        <f>'15 Levetider og rente'!$G$16</f>
        <v>10</v>
      </c>
      <c r="E244">
        <f>'15 Levetider og rente'!$G$16</f>
        <v>10</v>
      </c>
      <c r="F244">
        <f>'15 Levetider og rente'!$G$16</f>
        <v>10</v>
      </c>
      <c r="G244">
        <f>'15 Levetider og rente'!$G$16</f>
        <v>10</v>
      </c>
      <c r="H244">
        <f>'15 Levetider og rente'!$G$16</f>
        <v>10</v>
      </c>
      <c r="I244">
        <f>'15 Levetider og rente'!$G$16</f>
        <v>10</v>
      </c>
      <c r="J244">
        <f>'15 Levetider og rente'!$G$16</f>
        <v>10</v>
      </c>
      <c r="K244">
        <f>'15 Levetider og rente'!$G$16</f>
        <v>10</v>
      </c>
      <c r="L244">
        <f>'15 Levetider og rente'!$G$16</f>
        <v>10</v>
      </c>
      <c r="M244">
        <f>'15 Levetider og rente'!$G$16</f>
        <v>10</v>
      </c>
      <c r="N244">
        <f>'15 Levetider og rente'!$G$16</f>
        <v>10</v>
      </c>
      <c r="O244">
        <f>'15 Levetider og rente'!$G$16</f>
        <v>10</v>
      </c>
    </row>
    <row r="245" spans="1:15" x14ac:dyDescent="0.25">
      <c r="B245" t="s">
        <v>680</v>
      </c>
      <c r="C245" t="s">
        <v>3</v>
      </c>
      <c r="D245" s="485">
        <f>'15 Levetider og rente'!$B$16</f>
        <v>0.06</v>
      </c>
      <c r="E245" s="485">
        <f>'15 Levetider og rente'!$B$16</f>
        <v>0.06</v>
      </c>
      <c r="F245" s="485">
        <f>'15 Levetider og rente'!$B$16</f>
        <v>0.06</v>
      </c>
      <c r="G245" s="485">
        <f>'15 Levetider og rente'!$B$16</f>
        <v>0.06</v>
      </c>
      <c r="H245" s="485">
        <f>'15 Levetider og rente'!$B$16</f>
        <v>0.06</v>
      </c>
      <c r="I245" s="485">
        <f>'15 Levetider og rente'!$B$16</f>
        <v>0.06</v>
      </c>
      <c r="J245" s="485">
        <f>'15 Levetider og rente'!$B$16</f>
        <v>0.06</v>
      </c>
      <c r="K245" s="485">
        <f>'15 Levetider og rente'!$B$16</f>
        <v>0.06</v>
      </c>
      <c r="L245" s="485">
        <f>'15 Levetider og rente'!$B$16</f>
        <v>0.06</v>
      </c>
      <c r="M245" s="485">
        <f>'15 Levetider og rente'!$B$16</f>
        <v>0.06</v>
      </c>
      <c r="N245" s="485">
        <f>'15 Levetider og rente'!$B$16</f>
        <v>0.06</v>
      </c>
      <c r="O245" s="485">
        <f>'15 Levetider og rente'!$B$16</f>
        <v>0.06</v>
      </c>
    </row>
    <row r="246" spans="1:15" x14ac:dyDescent="0.25">
      <c r="C246" t="s">
        <v>143</v>
      </c>
      <c r="D246" s="485">
        <f>'15 Levetider og rente'!$C$16</f>
        <v>0.06</v>
      </c>
      <c r="E246" s="485">
        <f>'15 Levetider og rente'!$C$16</f>
        <v>0.06</v>
      </c>
      <c r="F246" s="485">
        <f>'15 Levetider og rente'!$C$16</f>
        <v>0.06</v>
      </c>
      <c r="G246" s="485">
        <f>'15 Levetider og rente'!$C$16</f>
        <v>0.06</v>
      </c>
      <c r="H246" s="485">
        <f>'15 Levetider og rente'!$C$16</f>
        <v>0.06</v>
      </c>
      <c r="I246" s="485">
        <f>'15 Levetider og rente'!$C$16</f>
        <v>0.06</v>
      </c>
      <c r="J246" s="485">
        <f>'15 Levetider og rente'!$C$16</f>
        <v>0.06</v>
      </c>
      <c r="K246" s="485">
        <f>'15 Levetider og rente'!$C$16</f>
        <v>0.06</v>
      </c>
      <c r="L246" s="485">
        <f>'15 Levetider og rente'!$C$16</f>
        <v>0.06</v>
      </c>
      <c r="M246" s="485">
        <f>'15 Levetider og rente'!$C$16</f>
        <v>0.06</v>
      </c>
      <c r="N246" s="485">
        <f>'15 Levetider og rente'!$C$16</f>
        <v>0.06</v>
      </c>
      <c r="O246" s="485">
        <f>'15 Levetider og rente'!$C$16</f>
        <v>0.06</v>
      </c>
    </row>
    <row r="247" spans="1:15" x14ac:dyDescent="0.25">
      <c r="C247" t="s">
        <v>4</v>
      </c>
      <c r="D247" s="485">
        <f>'15 Levetider og rente'!$D$16</f>
        <v>0.06</v>
      </c>
      <c r="E247" s="485">
        <f>'15 Levetider og rente'!$D$16</f>
        <v>0.06</v>
      </c>
      <c r="F247" s="485">
        <f>'15 Levetider og rente'!$D$16</f>
        <v>0.06</v>
      </c>
      <c r="G247" s="485">
        <f>'15 Levetider og rente'!$D$16</f>
        <v>0.06</v>
      </c>
      <c r="H247" s="485">
        <f>'15 Levetider og rente'!$D$16</f>
        <v>0.06</v>
      </c>
      <c r="I247" s="485">
        <f>'15 Levetider og rente'!$D$16</f>
        <v>0.06</v>
      </c>
      <c r="J247" s="485">
        <f>'15 Levetider og rente'!$D$16</f>
        <v>0.06</v>
      </c>
      <c r="K247" s="485">
        <f>'15 Levetider og rente'!$D$16</f>
        <v>0.06</v>
      </c>
      <c r="L247" s="485">
        <f>'15 Levetider og rente'!$D$16</f>
        <v>0.06</v>
      </c>
      <c r="M247" s="485">
        <f>'15 Levetider og rente'!$D$16</f>
        <v>0.06</v>
      </c>
      <c r="N247" s="485">
        <f>'15 Levetider og rente'!$D$16</f>
        <v>0.06</v>
      </c>
      <c r="O247" s="485">
        <f>'15 Levetider og rente'!$D$16</f>
        <v>0.06</v>
      </c>
    </row>
    <row r="248" spans="1:15" x14ac:dyDescent="0.25">
      <c r="B248" t="s">
        <v>753</v>
      </c>
      <c r="C248" t="s">
        <v>3</v>
      </c>
      <c r="D248" s="564">
        <f>(D236-PV(D245,D244,D239))/-PV(D245,D244,D235)</f>
        <v>0</v>
      </c>
      <c r="E248" s="654">
        <f>(E236-PV(E245,E244,E239))/-PV(E245,E244,E233)</f>
        <v>0.34880752664699394</v>
      </c>
      <c r="F248" s="564">
        <f t="shared" ref="F248:O248" si="49">(F236-PV(F245,F244,F239))/-PV(F245,F244,F235)</f>
        <v>7.3236788143791226E-2</v>
      </c>
      <c r="G248" s="564">
        <f>(G236-PV(G245,G244,G239))/-PV(G245,G244,G235)</f>
        <v>1.2055802282383725E-2</v>
      </c>
      <c r="H248" s="564">
        <f>(H236-PV(H245,H244,H239))/-PV(H245,H244,H235)</f>
        <v>1.6494408783486014E-2</v>
      </c>
      <c r="I248" s="564">
        <f t="shared" si="49"/>
        <v>1.0708510778925573E-2</v>
      </c>
      <c r="J248" s="564">
        <f>(J236-PV(J245,J244,J239))/-PV(J245,J244,J235)</f>
        <v>6.2575930372713714E-3</v>
      </c>
      <c r="K248" s="564">
        <f t="shared" si="49"/>
        <v>1.1277803595937727E-2</v>
      </c>
      <c r="L248" s="564">
        <f t="shared" si="49"/>
        <v>1.1903451895887219E-2</v>
      </c>
      <c r="M248" s="564">
        <f t="shared" si="49"/>
        <v>9.0454923349605233E-3</v>
      </c>
      <c r="N248" s="564">
        <f t="shared" si="49"/>
        <v>7.6757498848940668E-3</v>
      </c>
      <c r="O248" s="564">
        <f t="shared" si="49"/>
        <v>1.495897240851508E-2</v>
      </c>
    </row>
    <row r="249" spans="1:15" x14ac:dyDescent="0.25">
      <c r="C249" t="s">
        <v>143</v>
      </c>
      <c r="D249" s="564">
        <f>(D237-PV(D246,D243,D240))/-PV(D246,D243,D234)</f>
        <v>0</v>
      </c>
      <c r="E249" s="654">
        <f>(E237-PV(E246,E243,E240))/-PV(E246,E243,E234)</f>
        <v>0.46593862937852398</v>
      </c>
      <c r="F249" s="564">
        <f>(F237-PV(F246,F243,F240))/-PV(F246,F243,F234)</f>
        <v>1.2936521118794959</v>
      </c>
      <c r="G249" s="564">
        <f>(G237-PV(G246,G243,G240))/-PV(G246,G243,G234)</f>
        <v>0.18764225587918615</v>
      </c>
      <c r="H249" s="564">
        <f>(H237-PV(H246,H243,H240))/-PV(H246,H243,H234)</f>
        <v>0.29424740774031916</v>
      </c>
      <c r="I249" s="564">
        <f t="shared" ref="I249:O249" si="50">(I237-PV(I246,I243,I240))/-PV(I246,I243,I234)</f>
        <v>0.16724768592681119</v>
      </c>
      <c r="J249" s="564">
        <f>(J237-PV(J246,J243,J240))/-PV(J246,J243,J234)</f>
        <v>9.0040669035229642E-2</v>
      </c>
      <c r="K249" s="564">
        <f t="shared" si="50"/>
        <v>0.18143756372785039</v>
      </c>
      <c r="L249" s="564">
        <f t="shared" si="50"/>
        <v>0.18203735732695073</v>
      </c>
      <c r="M249" s="564">
        <f t="shared" si="50"/>
        <v>0.15231721712585017</v>
      </c>
      <c r="N249" s="564">
        <f t="shared" si="50"/>
        <v>0.11638408941419627</v>
      </c>
      <c r="O249" s="564">
        <f t="shared" si="50"/>
        <v>0.24876676614380006</v>
      </c>
    </row>
    <row r="250" spans="1:15" x14ac:dyDescent="0.25">
      <c r="C250" t="s">
        <v>4</v>
      </c>
      <c r="D250" s="564">
        <f t="shared" ref="D250:O250" si="51">(D238-PV(D247,D242,D241))/-PV(D247,D242,D233)</f>
        <v>2.4878609925922426</v>
      </c>
      <c r="E250" s="654">
        <f>(E238-PV(E247,E242,E241))/-PV(E247,E242,E235)</f>
        <v>2.8062670850298543</v>
      </c>
      <c r="F250" s="564">
        <f>(F238-PV(F247,F242,F241))/-PV(F247,F242,F233)</f>
        <v>13.043912989519225</v>
      </c>
      <c r="G250" s="564">
        <f>(G238-PV(G247,G242,G241))/-PV(G247,G242,G233)</f>
        <v>4.4339459308239579</v>
      </c>
      <c r="H250" s="564">
        <f t="shared" si="51"/>
        <v>4.8563336649107818</v>
      </c>
      <c r="I250" s="564">
        <f t="shared" si="51"/>
        <v>4.0028315651280515</v>
      </c>
      <c r="J250" s="564">
        <f t="shared" si="51"/>
        <v>2.0020056486950497</v>
      </c>
      <c r="K250" s="564">
        <f t="shared" si="51"/>
        <v>2.5898153326330156</v>
      </c>
      <c r="L250" s="564">
        <f t="shared" si="51"/>
        <v>2.8479900698425378</v>
      </c>
      <c r="M250" s="564">
        <f t="shared" si="51"/>
        <v>2.2262197861267032</v>
      </c>
      <c r="N250" s="564">
        <f t="shared" si="51"/>
        <v>2.8409891953250956</v>
      </c>
      <c r="O250" s="564">
        <f t="shared" si="51"/>
        <v>3.2844348096795573</v>
      </c>
    </row>
    <row r="252" spans="1:15" x14ac:dyDescent="0.25">
      <c r="A252" t="s">
        <v>530</v>
      </c>
      <c r="B252" t="s">
        <v>676</v>
      </c>
      <c r="C252" t="s">
        <v>3</v>
      </c>
      <c r="D252" s="591">
        <f>'8 Lav energibesparelse'!D365</f>
        <v>0</v>
      </c>
      <c r="E252" s="591">
        <f>'8 Lav energibesparelse'!F365</f>
        <v>0</v>
      </c>
      <c r="F252" s="62">
        <f>'8 Lav energibesparelse'!H365</f>
        <v>2.7440000000000002</v>
      </c>
      <c r="G252" s="62">
        <f>'8 Lav energibesparelse'!J365</f>
        <v>1.6480000000000001</v>
      </c>
      <c r="H252" s="62">
        <f>'8 Lav energibesparelse'!L365</f>
        <v>2.0199999999999996</v>
      </c>
      <c r="I252" s="62">
        <f>'8 Lav energibesparelse'!N365</f>
        <v>1.9780000000000002</v>
      </c>
      <c r="J252" s="62">
        <f>'8 Lav energibesparelse'!P365</f>
        <v>4.0880000000000001</v>
      </c>
      <c r="K252" s="62">
        <f>'8 Lav energibesparelse'!R365</f>
        <v>3.4160000000000004</v>
      </c>
      <c r="L252" s="62">
        <f>'8 Lav energibesparelse'!T365</f>
        <v>3.2560000000000002</v>
      </c>
      <c r="M252" s="62">
        <f>'8 Lav energibesparelse'!V365</f>
        <v>2.734</v>
      </c>
      <c r="N252" s="62">
        <f>'8 Lav energibesparelse'!X365</f>
        <v>3.1020000000000003</v>
      </c>
      <c r="O252" s="62">
        <f>'8 Lav energibesparelse'!Z365</f>
        <v>2.746</v>
      </c>
    </row>
    <row r="253" spans="1:15" x14ac:dyDescent="0.25">
      <c r="C253" t="s">
        <v>143</v>
      </c>
      <c r="D253" s="591">
        <f>'9 Median energibesparelse'!D365</f>
        <v>0</v>
      </c>
      <c r="E253" s="591">
        <f>'9 Median energibesparelse'!F365</f>
        <v>0</v>
      </c>
      <c r="F253" s="62">
        <f>'9 Median energibesparelse'!H365</f>
        <v>11.605</v>
      </c>
      <c r="G253" s="62">
        <f>'9 Median energibesparelse'!J365</f>
        <v>9.39</v>
      </c>
      <c r="H253" s="62">
        <f>'9 Median energibesparelse'!L365</f>
        <v>10.015000000000001</v>
      </c>
      <c r="I253" s="62">
        <f>'9 Median energibesparelse'!N365</f>
        <v>11.06</v>
      </c>
      <c r="J253" s="62">
        <f>'9 Median energibesparelse'!P365</f>
        <v>20.660000000000004</v>
      </c>
      <c r="K253" s="62">
        <f>'9 Median energibesparelse'!R365</f>
        <v>14.64</v>
      </c>
      <c r="L253" s="62">
        <f>'9 Median energibesparelse'!T365</f>
        <v>15.530000000000001</v>
      </c>
      <c r="M253" s="62">
        <f>'9 Median energibesparelse'!V365</f>
        <v>14.645000000000003</v>
      </c>
      <c r="N253" s="62">
        <f>'9 Median energibesparelse'!X365</f>
        <v>16.625</v>
      </c>
      <c r="O253" s="62">
        <f>'9 Median energibesparelse'!Z365</f>
        <v>12.875</v>
      </c>
    </row>
    <row r="254" spans="1:15" x14ac:dyDescent="0.25">
      <c r="C254" t="s">
        <v>4</v>
      </c>
      <c r="D254" s="591">
        <f>'10 Høy energibesparelse'!D368</f>
        <v>0</v>
      </c>
      <c r="E254" s="591">
        <f>'10 Høy energibesparelse'!F368</f>
        <v>0</v>
      </c>
      <c r="F254" s="62">
        <f>'10 Høy energibesparelse'!H368</f>
        <v>50.490000000000009</v>
      </c>
      <c r="G254" s="62">
        <f>'10 Høy energibesparelse'!J368</f>
        <v>30.73</v>
      </c>
      <c r="H254" s="62">
        <f>'10 Høy energibesparelse'!L368</f>
        <v>37.5</v>
      </c>
      <c r="I254" s="62">
        <f>'10 Høy energibesparelse'!N368</f>
        <v>35.940000000000005</v>
      </c>
      <c r="J254" s="62">
        <f>'10 Høy energibesparelse'!P368</f>
        <v>60.84</v>
      </c>
      <c r="K254" s="62">
        <f>'10 Høy energibesparelse'!R368</f>
        <v>50.250000000000007</v>
      </c>
      <c r="L254" s="62">
        <f>'10 Høy energibesparelse'!T368</f>
        <v>48.84</v>
      </c>
      <c r="M254" s="62">
        <f>'10 Høy energibesparelse'!V368</f>
        <v>52.03</v>
      </c>
      <c r="N254" s="62">
        <f>'10 Høy energibesparelse'!X368</f>
        <v>50.4</v>
      </c>
      <c r="O254" s="62">
        <f>'10 Høy energibesparelse'!Z368</f>
        <v>43.209999999999994</v>
      </c>
    </row>
    <row r="255" spans="1:15" x14ac:dyDescent="0.25">
      <c r="B255" t="s">
        <v>677</v>
      </c>
      <c r="C255" t="s">
        <v>3</v>
      </c>
      <c r="D255" s="592">
        <f>'14 Kostnader Automasjon'!$L$35</f>
        <v>0</v>
      </c>
      <c r="E255" s="592">
        <f>'14 Kostnader Automasjon'!$L$36</f>
        <v>0</v>
      </c>
      <c r="F255">
        <f>'14 Kostnader Automasjon'!$L$37</f>
        <v>158.73329999999999</v>
      </c>
      <c r="G255">
        <f>'14 Kostnader Automasjon'!$L$38</f>
        <v>264.55549999999999</v>
      </c>
      <c r="H255">
        <f>'14 Kostnader Automasjon'!$L$39</f>
        <v>211.64439999999999</v>
      </c>
      <c r="I255">
        <f>'14 Kostnader Automasjon'!$L$40</f>
        <v>211.64439999999999</v>
      </c>
      <c r="J255">
        <f>'14 Kostnader Automasjon'!$L$41</f>
        <v>264.55549999999999</v>
      </c>
      <c r="K255">
        <f>'14 Kostnader Automasjon'!$L$42</f>
        <v>264.55549999999999</v>
      </c>
      <c r="L255">
        <f>'14 Kostnader Automasjon'!$L$43</f>
        <v>211.64439999999999</v>
      </c>
      <c r="M255">
        <f>'14 Kostnader Automasjon'!$L$44</f>
        <v>158.73329999999999</v>
      </c>
      <c r="N255">
        <f>'14 Kostnader Automasjon'!$L$45</f>
        <v>264.55549999999999</v>
      </c>
      <c r="O255">
        <f>'14 Kostnader Automasjon'!$L$46</f>
        <v>211.64439999999999</v>
      </c>
    </row>
    <row r="256" spans="1:15" x14ac:dyDescent="0.25">
      <c r="C256" t="s">
        <v>143</v>
      </c>
      <c r="D256" s="592">
        <f>'14 Kostnader Automasjon'!$M$35</f>
        <v>0</v>
      </c>
      <c r="E256" s="592">
        <f>'14 Kostnader Automasjon'!$M$36</f>
        <v>0</v>
      </c>
      <c r="F256">
        <f>'14 Kostnader Automasjon'!$M$37</f>
        <v>317.46659999999997</v>
      </c>
      <c r="G256">
        <f>'14 Kostnader Automasjon'!$M$38</f>
        <v>529.11099999999999</v>
      </c>
      <c r="H256">
        <f>'14 Kostnader Automasjon'!$M$39</f>
        <v>423.28879999999998</v>
      </c>
      <c r="I256">
        <f>'14 Kostnader Automasjon'!$M$40</f>
        <v>423.28879999999998</v>
      </c>
      <c r="J256">
        <f>'14 Kostnader Automasjon'!$M$41</f>
        <v>529.11099999999999</v>
      </c>
      <c r="K256">
        <f>'14 Kostnader Automasjon'!$M$42</f>
        <v>529.11099999999999</v>
      </c>
      <c r="L256">
        <f>'14 Kostnader Automasjon'!$M$43</f>
        <v>423.28879999999998</v>
      </c>
      <c r="M256">
        <f>'14 Kostnader Automasjon'!$M$44</f>
        <v>317.46659999999997</v>
      </c>
      <c r="N256">
        <f>'14 Kostnader Automasjon'!$M$45</f>
        <v>529.11099999999999</v>
      </c>
      <c r="O256">
        <f>'14 Kostnader Automasjon'!$M$46</f>
        <v>423.28879999999998</v>
      </c>
    </row>
    <row r="257" spans="1:17" x14ac:dyDescent="0.25">
      <c r="C257" t="s">
        <v>4</v>
      </c>
      <c r="D257" s="592">
        <f>'14 Kostnader Automasjon'!$N$35</f>
        <v>0</v>
      </c>
      <c r="E257" s="592">
        <f>'14 Kostnader Automasjon'!$N$36</f>
        <v>0</v>
      </c>
      <c r="F257">
        <f>'14 Kostnader Automasjon'!$N$37</f>
        <v>423.28879999999998</v>
      </c>
      <c r="G257">
        <f>'14 Kostnader Automasjon'!$N$38</f>
        <v>687.84429999999998</v>
      </c>
      <c r="H257">
        <f>'14 Kostnader Automasjon'!$N$39</f>
        <v>529.11099999999999</v>
      </c>
      <c r="I257">
        <f>'14 Kostnader Automasjon'!$N$40</f>
        <v>529.11099999999999</v>
      </c>
      <c r="J257">
        <f>'14 Kostnader Automasjon'!$N$41</f>
        <v>687.84429999999998</v>
      </c>
      <c r="K257">
        <f>'14 Kostnader Automasjon'!$N$42</f>
        <v>687.84429999999998</v>
      </c>
      <c r="L257">
        <f>'14 Kostnader Automasjon'!$N$43</f>
        <v>529.11099999999999</v>
      </c>
      <c r="M257">
        <f>'14 Kostnader Automasjon'!$N$44</f>
        <v>423.28879999999998</v>
      </c>
      <c r="N257">
        <f>'14 Kostnader Automasjon'!$N$45</f>
        <v>687.84429999999998</v>
      </c>
      <c r="O257">
        <f>'14 Kostnader Automasjon'!$N$46</f>
        <v>529.11099999999999</v>
      </c>
    </row>
    <row r="258" spans="1:17" x14ac:dyDescent="0.25">
      <c r="B258" t="s">
        <v>678</v>
      </c>
      <c r="C258" t="s">
        <v>3</v>
      </c>
      <c r="D258" s="592">
        <v>0</v>
      </c>
      <c r="E258" s="592">
        <v>0</v>
      </c>
      <c r="F258">
        <v>0</v>
      </c>
      <c r="G258">
        <v>0</v>
      </c>
      <c r="H258">
        <v>0</v>
      </c>
      <c r="I258">
        <v>0</v>
      </c>
      <c r="J258">
        <v>0</v>
      </c>
      <c r="K258">
        <v>0</v>
      </c>
      <c r="L258">
        <v>0</v>
      </c>
      <c r="M258">
        <v>0</v>
      </c>
      <c r="N258">
        <v>0</v>
      </c>
      <c r="O258">
        <v>0</v>
      </c>
    </row>
    <row r="259" spans="1:17" x14ac:dyDescent="0.25">
      <c r="C259" t="s">
        <v>143</v>
      </c>
      <c r="D259" s="592">
        <v>0</v>
      </c>
      <c r="E259" s="592">
        <v>0</v>
      </c>
      <c r="F259">
        <v>0</v>
      </c>
      <c r="G259">
        <v>0</v>
      </c>
      <c r="H259">
        <v>0</v>
      </c>
      <c r="I259">
        <v>0</v>
      </c>
      <c r="J259">
        <v>0</v>
      </c>
      <c r="K259">
        <v>0</v>
      </c>
      <c r="L259">
        <v>0</v>
      </c>
      <c r="M259">
        <v>0</v>
      </c>
      <c r="N259">
        <v>0</v>
      </c>
      <c r="O259">
        <v>0</v>
      </c>
    </row>
    <row r="260" spans="1:17" x14ac:dyDescent="0.25">
      <c r="C260" t="s">
        <v>4</v>
      </c>
      <c r="D260" s="592">
        <v>0</v>
      </c>
      <c r="E260" s="592">
        <v>0</v>
      </c>
      <c r="F260">
        <v>0</v>
      </c>
      <c r="G260">
        <v>0</v>
      </c>
      <c r="H260">
        <v>0</v>
      </c>
      <c r="I260">
        <v>0</v>
      </c>
      <c r="J260">
        <v>0</v>
      </c>
      <c r="K260">
        <v>0</v>
      </c>
      <c r="L260">
        <v>0</v>
      </c>
      <c r="M260">
        <v>0</v>
      </c>
      <c r="N260">
        <v>0</v>
      </c>
      <c r="O260">
        <v>0</v>
      </c>
    </row>
    <row r="261" spans="1:17" x14ac:dyDescent="0.25">
      <c r="B261" t="s">
        <v>679</v>
      </c>
      <c r="C261" t="s">
        <v>3</v>
      </c>
      <c r="D261" s="592">
        <f>'15 Levetider og rente'!$E$17</f>
        <v>15</v>
      </c>
      <c r="E261" s="592">
        <f>'15 Levetider og rente'!$E$17</f>
        <v>15</v>
      </c>
      <c r="F261">
        <f>'15 Levetider og rente'!$E$17</f>
        <v>15</v>
      </c>
      <c r="G261">
        <f>'15 Levetider og rente'!$E$17</f>
        <v>15</v>
      </c>
      <c r="H261">
        <f>'15 Levetider og rente'!$E$17</f>
        <v>15</v>
      </c>
      <c r="I261">
        <f>'15 Levetider og rente'!$E$17</f>
        <v>15</v>
      </c>
      <c r="J261">
        <f>'15 Levetider og rente'!$E$17</f>
        <v>15</v>
      </c>
      <c r="K261">
        <f>'15 Levetider og rente'!$E$17</f>
        <v>15</v>
      </c>
      <c r="L261">
        <f>'15 Levetider og rente'!$E$17</f>
        <v>15</v>
      </c>
      <c r="M261">
        <f>'15 Levetider og rente'!$E$17</f>
        <v>15</v>
      </c>
      <c r="N261">
        <f>'15 Levetider og rente'!$E$17</f>
        <v>15</v>
      </c>
      <c r="O261">
        <f>'15 Levetider og rente'!$E$17</f>
        <v>15</v>
      </c>
    </row>
    <row r="262" spans="1:17" x14ac:dyDescent="0.25">
      <c r="C262" t="s">
        <v>143</v>
      </c>
      <c r="D262" s="593">
        <f>'15 Levetider og rente'!$F$17</f>
        <v>15</v>
      </c>
      <c r="E262" s="593">
        <f>'15 Levetider og rente'!$F$17</f>
        <v>15</v>
      </c>
      <c r="F262" s="555">
        <f>'15 Levetider og rente'!$F$17</f>
        <v>15</v>
      </c>
      <c r="G262" s="555">
        <f>'15 Levetider og rente'!$F$17</f>
        <v>15</v>
      </c>
      <c r="H262" s="555">
        <f>'15 Levetider og rente'!$F$17</f>
        <v>15</v>
      </c>
      <c r="I262" s="555">
        <f>'15 Levetider og rente'!$F$17</f>
        <v>15</v>
      </c>
      <c r="J262" s="555">
        <f>'15 Levetider og rente'!$F$17</f>
        <v>15</v>
      </c>
      <c r="K262" s="555">
        <f>'15 Levetider og rente'!$F$17</f>
        <v>15</v>
      </c>
      <c r="L262" s="555">
        <f>'15 Levetider og rente'!$F$17</f>
        <v>15</v>
      </c>
      <c r="M262" s="555">
        <f>'15 Levetider og rente'!$F$17</f>
        <v>15</v>
      </c>
      <c r="N262" s="555">
        <f>'15 Levetider og rente'!$F$17</f>
        <v>15</v>
      </c>
      <c r="O262" s="555">
        <f>'15 Levetider og rente'!$F$17</f>
        <v>15</v>
      </c>
    </row>
    <row r="263" spans="1:17" x14ac:dyDescent="0.25">
      <c r="C263" t="s">
        <v>4</v>
      </c>
      <c r="D263" s="592">
        <f>'15 Levetider og rente'!$G$17</f>
        <v>15</v>
      </c>
      <c r="E263" s="592">
        <f>'15 Levetider og rente'!$G$17</f>
        <v>15</v>
      </c>
      <c r="F263">
        <f>'15 Levetider og rente'!$G$17</f>
        <v>15</v>
      </c>
      <c r="G263">
        <f>'15 Levetider og rente'!$G$17</f>
        <v>15</v>
      </c>
      <c r="H263">
        <f>'15 Levetider og rente'!$G$17</f>
        <v>15</v>
      </c>
      <c r="I263">
        <f>'15 Levetider og rente'!$G$17</f>
        <v>15</v>
      </c>
      <c r="J263">
        <f>'15 Levetider og rente'!$G$17</f>
        <v>15</v>
      </c>
      <c r="K263">
        <f>'15 Levetider og rente'!$G$17</f>
        <v>15</v>
      </c>
      <c r="L263">
        <f>'15 Levetider og rente'!$G$17</f>
        <v>15</v>
      </c>
      <c r="M263">
        <f>'15 Levetider og rente'!$G$17</f>
        <v>15</v>
      </c>
      <c r="N263">
        <f>'15 Levetider og rente'!$G$17</f>
        <v>15</v>
      </c>
      <c r="O263">
        <f>'15 Levetider og rente'!$G$17</f>
        <v>15</v>
      </c>
    </row>
    <row r="264" spans="1:17" x14ac:dyDescent="0.25">
      <c r="B264" t="s">
        <v>680</v>
      </c>
      <c r="C264" t="s">
        <v>3</v>
      </c>
      <c r="D264" s="594">
        <f>'15 Levetider og rente'!$B$17</f>
        <v>0.06</v>
      </c>
      <c r="E264" s="594">
        <f>'15 Levetider og rente'!$B$17</f>
        <v>0.06</v>
      </c>
      <c r="F264" s="485">
        <f>'15 Levetider og rente'!$B$17</f>
        <v>0.06</v>
      </c>
      <c r="G264" s="485">
        <f>'15 Levetider og rente'!$B$17</f>
        <v>0.06</v>
      </c>
      <c r="H264" s="485">
        <f>'15 Levetider og rente'!$B$17</f>
        <v>0.06</v>
      </c>
      <c r="I264" s="485">
        <f>'15 Levetider og rente'!$B$17</f>
        <v>0.06</v>
      </c>
      <c r="J264" s="485">
        <f>'15 Levetider og rente'!$B$17</f>
        <v>0.06</v>
      </c>
      <c r="K264" s="485">
        <f>'15 Levetider og rente'!$B$17</f>
        <v>0.06</v>
      </c>
      <c r="L264" s="485">
        <f>'15 Levetider og rente'!$B$17</f>
        <v>0.06</v>
      </c>
      <c r="M264" s="485">
        <f>'15 Levetider og rente'!$B$17</f>
        <v>0.06</v>
      </c>
      <c r="N264" s="485">
        <f>'15 Levetider og rente'!$B$17</f>
        <v>0.06</v>
      </c>
      <c r="O264" s="485">
        <f>'15 Levetider og rente'!$B$17</f>
        <v>0.06</v>
      </c>
    </row>
    <row r="265" spans="1:17" x14ac:dyDescent="0.25">
      <c r="C265" t="s">
        <v>143</v>
      </c>
      <c r="D265" s="594">
        <f>'15 Levetider og rente'!$C$17</f>
        <v>0.06</v>
      </c>
      <c r="E265" s="594">
        <f>'15 Levetider og rente'!$C$17</f>
        <v>0.06</v>
      </c>
      <c r="F265" s="485">
        <f>'15 Levetider og rente'!$C$17</f>
        <v>0.06</v>
      </c>
      <c r="G265" s="485">
        <f>'15 Levetider og rente'!$C$17</f>
        <v>0.06</v>
      </c>
      <c r="H265" s="485">
        <f>'15 Levetider og rente'!$C$17</f>
        <v>0.06</v>
      </c>
      <c r="I265" s="485">
        <f>'15 Levetider og rente'!$C$17</f>
        <v>0.06</v>
      </c>
      <c r="J265" s="485">
        <f>'15 Levetider og rente'!$C$17</f>
        <v>0.06</v>
      </c>
      <c r="K265" s="485">
        <f>'15 Levetider og rente'!$C$17</f>
        <v>0.06</v>
      </c>
      <c r="L265" s="485">
        <f>'15 Levetider og rente'!$C$17</f>
        <v>0.06</v>
      </c>
      <c r="M265" s="485">
        <f>'15 Levetider og rente'!$C$17</f>
        <v>0.06</v>
      </c>
      <c r="N265" s="485">
        <f>'15 Levetider og rente'!$C$17</f>
        <v>0.06</v>
      </c>
      <c r="O265" s="485">
        <f>'15 Levetider og rente'!$C$17</f>
        <v>0.06</v>
      </c>
    </row>
    <row r="266" spans="1:17" x14ac:dyDescent="0.25">
      <c r="C266" t="s">
        <v>4</v>
      </c>
      <c r="D266" s="594">
        <f>'15 Levetider og rente'!$D$17</f>
        <v>0.06</v>
      </c>
      <c r="E266" s="594">
        <f>'15 Levetider og rente'!$D$17</f>
        <v>0.06</v>
      </c>
      <c r="F266" s="485">
        <f>'15 Levetider og rente'!$D$17</f>
        <v>0.06</v>
      </c>
      <c r="G266" s="485">
        <f>'15 Levetider og rente'!$D$17</f>
        <v>0.06</v>
      </c>
      <c r="H266" s="485">
        <f>'15 Levetider og rente'!$D$17</f>
        <v>0.06</v>
      </c>
      <c r="I266" s="485">
        <f>'15 Levetider og rente'!$D$17</f>
        <v>0.06</v>
      </c>
      <c r="J266" s="485">
        <f>'15 Levetider og rente'!$D$17</f>
        <v>0.06</v>
      </c>
      <c r="K266" s="485">
        <f>'15 Levetider og rente'!$D$17</f>
        <v>0.06</v>
      </c>
      <c r="L266" s="485">
        <f>'15 Levetider og rente'!$D$17</f>
        <v>0.06</v>
      </c>
      <c r="M266" s="485">
        <f>'15 Levetider og rente'!$D$17</f>
        <v>0.06</v>
      </c>
      <c r="N266" s="485">
        <f>'15 Levetider og rente'!$D$17</f>
        <v>0.06</v>
      </c>
      <c r="O266" s="485">
        <f>'15 Levetider og rente'!$D$17</f>
        <v>0.06</v>
      </c>
    </row>
    <row r="267" spans="1:17" x14ac:dyDescent="0.25">
      <c r="B267" t="s">
        <v>753</v>
      </c>
      <c r="C267" t="s">
        <v>3</v>
      </c>
      <c r="D267" s="563"/>
      <c r="E267" s="563"/>
      <c r="F267" s="564">
        <f t="shared" ref="F267:O267" si="52">(F255-PV(F264,F263,F258))/-PV(F264,F263,F254)</f>
        <v>0.32370012477218896</v>
      </c>
      <c r="G267" s="564">
        <f t="shared" si="52"/>
        <v>0.88640955091375551</v>
      </c>
      <c r="H267" s="564">
        <f>(H255-PV(H264,H263,H258))/-PV(H264,H263,H254)</f>
        <v>0.58110646399103383</v>
      </c>
      <c r="I267" s="564">
        <f t="shared" si="52"/>
        <v>0.60632978296226381</v>
      </c>
      <c r="J267" s="564">
        <f t="shared" si="52"/>
        <v>0.44772132642307205</v>
      </c>
      <c r="K267" s="564">
        <f t="shared" si="52"/>
        <v>0.54207692536477015</v>
      </c>
      <c r="L267" s="564">
        <f t="shared" si="52"/>
        <v>0.44618125306436862</v>
      </c>
      <c r="M267" s="564">
        <f t="shared" si="52"/>
        <v>0.31411914856328699</v>
      </c>
      <c r="N267" s="564">
        <f t="shared" si="52"/>
        <v>0.5404636011821371</v>
      </c>
      <c r="O267" s="564">
        <f t="shared" si="52"/>
        <v>0.50431595463234824</v>
      </c>
    </row>
    <row r="268" spans="1:17" x14ac:dyDescent="0.25">
      <c r="C268" t="s">
        <v>143</v>
      </c>
      <c r="D268" s="563"/>
      <c r="E268" s="563"/>
      <c r="F268" s="564">
        <f t="shared" ref="F268:O268" si="53">(F256-PV(F265,F262,F259))/-PV(F265,F262,F253)</f>
        <v>2.8166513226622705</v>
      </c>
      <c r="G268" s="564">
        <f t="shared" si="53"/>
        <v>5.8017817890478609</v>
      </c>
      <c r="H268" s="564">
        <f>(H256-PV(H265,H262,H259))/-PV(H265,H262,H253)</f>
        <v>4.3517708236972075</v>
      </c>
      <c r="I268" s="564">
        <f t="shared" si="53"/>
        <v>3.9405953706444419</v>
      </c>
      <c r="J268" s="564">
        <f t="shared" si="53"/>
        <v>2.6369182477811908</v>
      </c>
      <c r="K268" s="564">
        <f t="shared" si="53"/>
        <v>3.7212247950245501</v>
      </c>
      <c r="L268" s="564">
        <f t="shared" si="53"/>
        <v>2.8063737797377675</v>
      </c>
      <c r="M268" s="564">
        <f t="shared" si="53"/>
        <v>2.2319725912936592</v>
      </c>
      <c r="N268" s="564">
        <f t="shared" si="53"/>
        <v>3.2769161503253783</v>
      </c>
      <c r="O268" s="564">
        <f t="shared" si="53"/>
        <v>3.3850861980060221</v>
      </c>
    </row>
    <row r="269" spans="1:17" x14ac:dyDescent="0.25">
      <c r="C269" t="s">
        <v>4</v>
      </c>
      <c r="D269" s="563"/>
      <c r="E269" s="563"/>
      <c r="F269" s="564">
        <f t="shared" ref="F269:I269" si="54">(F257-PV(F266,F261,F260))/-PV(F266,F261,F252)</f>
        <v>15.883011953107699</v>
      </c>
      <c r="G269" s="564">
        <f t="shared" si="54"/>
        <v>42.974727123123323</v>
      </c>
      <c r="H269" s="564">
        <f>(H257-PV(H266,H261,H260))/-PV(H266,H261,H252)</f>
        <v>26.969668811465063</v>
      </c>
      <c r="I269" s="564">
        <f t="shared" si="54"/>
        <v>27.542331142143283</v>
      </c>
      <c r="J269" s="564">
        <f>(J257-PV(J266,J261,J260))/-PV(J266,J261,J252)</f>
        <v>17.324449681728776</v>
      </c>
      <c r="K269" s="564">
        <f t="shared" ref="K269:O269" si="55">(K257-PV(K266,K261,K260))/-PV(K266,K261,K252)</f>
        <v>20.732538143708204</v>
      </c>
      <c r="L269" s="564">
        <f t="shared" si="55"/>
        <v>16.731796989913821</v>
      </c>
      <c r="M269" s="564">
        <f t="shared" si="55"/>
        <v>15.941106364055424</v>
      </c>
      <c r="N269" s="564">
        <f t="shared" si="55"/>
        <v>22.831189651485243</v>
      </c>
      <c r="O269" s="564">
        <f t="shared" si="55"/>
        <v>19.839304806685877</v>
      </c>
    </row>
    <row r="271" spans="1:17" x14ac:dyDescent="0.25">
      <c r="A271" t="s">
        <v>915</v>
      </c>
      <c r="B271" s="1"/>
      <c r="C271" s="1"/>
      <c r="D271" s="1" t="s">
        <v>609</v>
      </c>
      <c r="E271" s="1" t="s">
        <v>1019</v>
      </c>
      <c r="F271" s="1" t="s">
        <v>611</v>
      </c>
      <c r="G271" s="1" t="s">
        <v>613</v>
      </c>
      <c r="H271" s="1" t="s">
        <v>1050</v>
      </c>
      <c r="I271" s="1" t="s">
        <v>889</v>
      </c>
      <c r="J271" s="1" t="s">
        <v>890</v>
      </c>
      <c r="K271" s="1" t="s">
        <v>284</v>
      </c>
      <c r="L271" s="1" t="s">
        <v>517</v>
      </c>
      <c r="M271" s="1" t="s">
        <v>516</v>
      </c>
      <c r="N271" s="1" t="s">
        <v>586</v>
      </c>
      <c r="O271" s="1" t="s">
        <v>587</v>
      </c>
      <c r="P271" s="1" t="s">
        <v>530</v>
      </c>
      <c r="Q271" s="1"/>
    </row>
    <row r="272" spans="1:17" x14ac:dyDescent="0.25">
      <c r="B272" s="1"/>
      <c r="C272" s="1"/>
      <c r="D272" s="1" t="s">
        <v>609</v>
      </c>
      <c r="E272" s="1" t="s">
        <v>610</v>
      </c>
      <c r="F272" s="1" t="s">
        <v>611</v>
      </c>
      <c r="G272" s="1" t="s">
        <v>613</v>
      </c>
      <c r="H272" s="1" t="s">
        <v>1050</v>
      </c>
      <c r="I272" s="1" t="s">
        <v>284</v>
      </c>
      <c r="J272" s="1" t="s">
        <v>587</v>
      </c>
      <c r="K272" s="1" t="s">
        <v>889</v>
      </c>
      <c r="L272" s="1" t="s">
        <v>890</v>
      </c>
      <c r="M272" s="1" t="s">
        <v>517</v>
      </c>
      <c r="N272" s="1" t="s">
        <v>516</v>
      </c>
      <c r="O272" s="1" t="s">
        <v>586</v>
      </c>
      <c r="P272" s="1" t="s">
        <v>530</v>
      </c>
      <c r="Q272" s="1"/>
    </row>
    <row r="273" spans="2:16" x14ac:dyDescent="0.25">
      <c r="B273" s="1"/>
      <c r="C273" s="1" t="s">
        <v>3</v>
      </c>
      <c r="D273" s="565">
        <f>D29</f>
        <v>0.78559489360083345</v>
      </c>
      <c r="E273" s="566">
        <f>D57</f>
        <v>0.76401424433608867</v>
      </c>
      <c r="F273" s="566">
        <f>D76</f>
        <v>1.5374607632936095</v>
      </c>
      <c r="G273" s="566">
        <f>D95</f>
        <v>1.8963038124486491</v>
      </c>
      <c r="H273" s="566">
        <f>D114</f>
        <v>2.5666325401241261</v>
      </c>
      <c r="I273" s="566">
        <f>D171</f>
        <v>0.18471450231989933</v>
      </c>
      <c r="J273" s="566">
        <f>D248</f>
        <v>0</v>
      </c>
      <c r="K273" s="596"/>
      <c r="L273" s="596"/>
      <c r="M273" s="596"/>
      <c r="N273" s="596"/>
      <c r="O273" s="596"/>
      <c r="P273" s="596"/>
    </row>
    <row r="274" spans="2:16" x14ac:dyDescent="0.25">
      <c r="B274" s="1" t="s">
        <v>11</v>
      </c>
      <c r="C274" s="1" t="s">
        <v>143</v>
      </c>
      <c r="D274" s="682">
        <f>D273</f>
        <v>0.78559489360083345</v>
      </c>
      <c r="E274" s="682">
        <f t="shared" ref="E274:F274" si="56">E273</f>
        <v>0.76401424433608867</v>
      </c>
      <c r="F274" s="682">
        <f t="shared" si="56"/>
        <v>1.5374607632936095</v>
      </c>
      <c r="G274" s="566">
        <f t="shared" ref="G274:G275" si="57">D96</f>
        <v>2.7189394597265188</v>
      </c>
      <c r="H274" s="566">
        <f>D115</f>
        <v>3.4136978691854249</v>
      </c>
      <c r="I274" s="566">
        <f>D172</f>
        <v>1.166754069275554</v>
      </c>
      <c r="J274" s="566">
        <f>D249</f>
        <v>0</v>
      </c>
      <c r="K274" s="596"/>
      <c r="L274" s="596"/>
      <c r="M274" s="596"/>
      <c r="N274" s="596"/>
      <c r="O274" s="596"/>
      <c r="P274" s="596"/>
    </row>
    <row r="275" spans="2:16" x14ac:dyDescent="0.25">
      <c r="B275" s="1"/>
      <c r="C275" s="1" t="s">
        <v>4</v>
      </c>
      <c r="D275" s="565">
        <f>D30</f>
        <v>3.9848591402888078</v>
      </c>
      <c r="E275" s="566">
        <f>D58</f>
        <v>1.3522998054384678</v>
      </c>
      <c r="F275" s="566">
        <f>D77</f>
        <v>10.721976171197403</v>
      </c>
      <c r="G275" s="566">
        <f t="shared" si="57"/>
        <v>5.3556057065390181</v>
      </c>
      <c r="H275" s="566">
        <f>D116</f>
        <v>4.4745416353804837</v>
      </c>
      <c r="I275" s="566">
        <f>D173</f>
        <v>2.9699194490650478</v>
      </c>
      <c r="J275" s="566">
        <f>D250</f>
        <v>2.4878609925922426</v>
      </c>
      <c r="K275" s="596"/>
      <c r="L275" s="596"/>
      <c r="M275" s="596"/>
      <c r="N275" s="596"/>
      <c r="O275" s="596"/>
      <c r="P275" s="596"/>
    </row>
    <row r="276" spans="2:16" x14ac:dyDescent="0.25">
      <c r="B276" s="1"/>
      <c r="C276" s="1"/>
      <c r="D276" s="1" t="s">
        <v>609</v>
      </c>
      <c r="E276" s="1" t="s">
        <v>610</v>
      </c>
      <c r="F276" s="1" t="s">
        <v>611</v>
      </c>
      <c r="G276" s="1" t="s">
        <v>613</v>
      </c>
      <c r="H276" s="1" t="s">
        <v>1050</v>
      </c>
      <c r="I276" s="1" t="s">
        <v>284</v>
      </c>
      <c r="J276" s="1" t="s">
        <v>587</v>
      </c>
      <c r="K276" s="1" t="s">
        <v>682</v>
      </c>
      <c r="L276" s="1" t="s">
        <v>684</v>
      </c>
      <c r="M276" s="1" t="s">
        <v>517</v>
      </c>
      <c r="N276" s="1" t="s">
        <v>516</v>
      </c>
      <c r="O276" s="1" t="s">
        <v>586</v>
      </c>
      <c r="P276" s="1" t="s">
        <v>530</v>
      </c>
    </row>
    <row r="277" spans="2:16" x14ac:dyDescent="0.25">
      <c r="B277" s="1"/>
      <c r="C277" s="1" t="s">
        <v>3</v>
      </c>
      <c r="D277" s="565">
        <f>E29</f>
        <v>0.5917183092683822</v>
      </c>
      <c r="E277" s="566">
        <f>E57</f>
        <v>0.93015790515152785</v>
      </c>
      <c r="F277" s="566">
        <f>E76</f>
        <v>2.0731556178242871</v>
      </c>
      <c r="G277" s="566">
        <f>E95</f>
        <v>2.4839356471270415</v>
      </c>
      <c r="H277" s="566">
        <f>E114</f>
        <v>1.2534272166984721</v>
      </c>
      <c r="I277" s="566">
        <f>E171</f>
        <v>0.29874929369293424</v>
      </c>
      <c r="J277" s="566">
        <f>E248</f>
        <v>0.34880752664699394</v>
      </c>
      <c r="K277" s="596"/>
      <c r="L277" s="596"/>
      <c r="M277" s="596"/>
      <c r="N277" s="596"/>
      <c r="O277" s="596"/>
      <c r="P277" s="596"/>
    </row>
    <row r="278" spans="2:16" x14ac:dyDescent="0.25">
      <c r="B278" s="1" t="s">
        <v>1</v>
      </c>
      <c r="C278" s="1" t="s">
        <v>143</v>
      </c>
      <c r="D278" s="565">
        <f>D277</f>
        <v>0.5917183092683822</v>
      </c>
      <c r="E278" s="565">
        <f t="shared" ref="E278:F278" si="58">E277</f>
        <v>0.93015790515152785</v>
      </c>
      <c r="F278" s="565">
        <f t="shared" si="58"/>
        <v>2.0731556178242871</v>
      </c>
      <c r="G278" s="566">
        <f>E96</f>
        <v>3.6860789990923259</v>
      </c>
      <c r="H278" s="566">
        <f>E115</f>
        <v>1.5208478753188963</v>
      </c>
      <c r="I278" s="566">
        <f>E172</f>
        <v>1.7694613539990325</v>
      </c>
      <c r="J278" s="566">
        <f>E249</f>
        <v>0.46593862937852398</v>
      </c>
      <c r="K278" s="596"/>
      <c r="L278" s="596"/>
      <c r="M278" s="596"/>
      <c r="N278" s="596"/>
      <c r="O278" s="596"/>
      <c r="P278" s="596"/>
    </row>
    <row r="279" spans="2:16" x14ac:dyDescent="0.25">
      <c r="B279" s="1"/>
      <c r="C279" s="1" t="s">
        <v>4</v>
      </c>
      <c r="D279" s="565">
        <f>E30</f>
        <v>2.5249295120553055</v>
      </c>
      <c r="E279" s="566">
        <f>E58</f>
        <v>2.7904737154545831</v>
      </c>
      <c r="F279" s="566">
        <f>E77</f>
        <v>10.759914625176108</v>
      </c>
      <c r="G279" s="566">
        <f>E97</f>
        <v>7.0786118887738256</v>
      </c>
      <c r="H279" s="566">
        <f>E116</f>
        <v>1.9848953865470478</v>
      </c>
      <c r="I279" s="566">
        <f>E173</f>
        <v>4.1520255455679154</v>
      </c>
      <c r="J279" s="566">
        <f>E250</f>
        <v>2.8062670850298543</v>
      </c>
      <c r="K279" s="596"/>
      <c r="L279" s="596"/>
      <c r="M279" s="596"/>
      <c r="N279" s="596"/>
      <c r="O279" s="596"/>
      <c r="P279" s="596"/>
    </row>
    <row r="280" spans="2:16" s="404" customFormat="1" x14ac:dyDescent="0.25">
      <c r="B280" s="2"/>
      <c r="C280" s="2"/>
      <c r="D280" s="1" t="s">
        <v>609</v>
      </c>
      <c r="E280" s="1" t="s">
        <v>610</v>
      </c>
      <c r="F280" s="1" t="s">
        <v>611</v>
      </c>
      <c r="G280" s="1" t="s">
        <v>613</v>
      </c>
      <c r="H280" s="1" t="s">
        <v>1050</v>
      </c>
      <c r="I280" s="1" t="s">
        <v>682</v>
      </c>
      <c r="J280" s="1" t="s">
        <v>684</v>
      </c>
      <c r="K280" s="1" t="s">
        <v>284</v>
      </c>
      <c r="L280" s="1" t="s">
        <v>517</v>
      </c>
      <c r="M280" s="1" t="s">
        <v>516</v>
      </c>
      <c r="N280" s="1" t="s">
        <v>587</v>
      </c>
      <c r="O280" s="1" t="s">
        <v>530</v>
      </c>
      <c r="P280" s="1" t="s">
        <v>586</v>
      </c>
    </row>
    <row r="281" spans="2:16" x14ac:dyDescent="0.25">
      <c r="B281" s="1"/>
      <c r="C281" s="1" t="s">
        <v>3</v>
      </c>
      <c r="D281" s="565">
        <f>F29</f>
        <v>0.52863072408373679</v>
      </c>
      <c r="E281" s="566">
        <f>F57</f>
        <v>1.1385132759054717</v>
      </c>
      <c r="F281" s="566">
        <f>F76</f>
        <v>1.4745237729833447</v>
      </c>
      <c r="G281" s="566">
        <f>F95</f>
        <v>2.1711706900949386</v>
      </c>
      <c r="H281" s="566">
        <f>F114</f>
        <v>0.12064849817720615</v>
      </c>
      <c r="I281" s="566">
        <f>F133</f>
        <v>0.2883144257911176</v>
      </c>
      <c r="J281" s="566">
        <f>F152</f>
        <v>0.61879847668784516</v>
      </c>
      <c r="K281" s="566">
        <f>F171</f>
        <v>0.33391951477583187</v>
      </c>
      <c r="L281" s="566">
        <f>F190</f>
        <v>10.886439745990437</v>
      </c>
      <c r="M281" s="566">
        <f>F209</f>
        <v>4.9586777965097584</v>
      </c>
      <c r="N281" s="566">
        <f>F248</f>
        <v>7.3236788143791226E-2</v>
      </c>
      <c r="O281" s="566">
        <f>F267</f>
        <v>0.32370012477218896</v>
      </c>
      <c r="P281" s="596"/>
    </row>
    <row r="282" spans="2:16" x14ac:dyDescent="0.25">
      <c r="B282" s="1" t="s">
        <v>97</v>
      </c>
      <c r="C282" s="1" t="s">
        <v>143</v>
      </c>
      <c r="D282" s="565">
        <f>D281</f>
        <v>0.52863072408373679</v>
      </c>
      <c r="E282" s="565">
        <f t="shared" ref="E282:F282" si="59">E281</f>
        <v>1.1385132759054717</v>
      </c>
      <c r="F282" s="565">
        <f t="shared" si="59"/>
        <v>1.4745237729833447</v>
      </c>
      <c r="G282" s="566">
        <f>F96</f>
        <v>3.1504346321114145</v>
      </c>
      <c r="H282" s="566">
        <f>F115</f>
        <v>0.65408645851119207</v>
      </c>
      <c r="I282" s="566">
        <f>F134</f>
        <v>0.45480585476908553</v>
      </c>
      <c r="J282" s="566">
        <f>F153</f>
        <v>1.0939473070017265</v>
      </c>
      <c r="K282" s="566">
        <f>F172</f>
        <v>0.70123098102924719</v>
      </c>
      <c r="L282" s="566">
        <f>F191</f>
        <v>12.239107041243512</v>
      </c>
      <c r="M282" s="566">
        <f>F210</f>
        <v>3.9250321226554883</v>
      </c>
      <c r="N282" s="566">
        <f t="shared" ref="N282:N283" si="60">F249</f>
        <v>1.2936521118794959</v>
      </c>
      <c r="O282" s="566">
        <f t="shared" ref="O282:O283" si="61">F268</f>
        <v>2.8166513226622705</v>
      </c>
      <c r="P282" s="596"/>
    </row>
    <row r="283" spans="2:16" x14ac:dyDescent="0.25">
      <c r="B283" s="1"/>
      <c r="C283" s="1" t="s">
        <v>4</v>
      </c>
      <c r="D283" s="565">
        <f t="shared" ref="D283" si="62">F31</f>
        <v>4.1589376296635949</v>
      </c>
      <c r="E283" s="566">
        <f>F59</f>
        <v>8.2066746432545443</v>
      </c>
      <c r="F283" s="566">
        <f>F78</f>
        <v>14.580615565298238</v>
      </c>
      <c r="G283" s="566">
        <f>F97</f>
        <v>6.038940767610173</v>
      </c>
      <c r="H283" s="566">
        <f>F116</f>
        <v>5.4895066670628792</v>
      </c>
      <c r="I283" s="566">
        <f>F135</f>
        <v>6.8618833338285841</v>
      </c>
      <c r="J283" s="566">
        <f>F154</f>
        <v>1.8886805679776855</v>
      </c>
      <c r="K283" s="566">
        <f>F173</f>
        <v>1.4884619880337766</v>
      </c>
      <c r="L283" s="566">
        <f>F192</f>
        <v>55.860309062511931</v>
      </c>
      <c r="M283" s="566">
        <f>F211</f>
        <v>21.520441561738593</v>
      </c>
      <c r="N283" s="566">
        <f t="shared" si="60"/>
        <v>13.043912989519225</v>
      </c>
      <c r="O283" s="566">
        <f t="shared" si="61"/>
        <v>15.883011953107699</v>
      </c>
      <c r="P283" s="596"/>
    </row>
    <row r="284" spans="2:16" x14ac:dyDescent="0.25">
      <c r="B284" s="1"/>
      <c r="C284" s="1"/>
      <c r="D284" s="1" t="s">
        <v>609</v>
      </c>
      <c r="E284" s="1" t="s">
        <v>610</v>
      </c>
      <c r="F284" s="1" t="s">
        <v>611</v>
      </c>
      <c r="G284" s="1" t="s">
        <v>613</v>
      </c>
      <c r="H284" s="1" t="s">
        <v>1050</v>
      </c>
      <c r="I284" s="1" t="s">
        <v>682</v>
      </c>
      <c r="J284" s="1" t="s">
        <v>684</v>
      </c>
      <c r="K284" s="1" t="s">
        <v>284</v>
      </c>
      <c r="L284" s="1" t="s">
        <v>517</v>
      </c>
      <c r="M284" s="1" t="s">
        <v>516</v>
      </c>
      <c r="N284" s="1" t="s">
        <v>587</v>
      </c>
      <c r="O284" s="1" t="s">
        <v>530</v>
      </c>
      <c r="P284" s="1" t="s">
        <v>586</v>
      </c>
    </row>
    <row r="285" spans="2:16" x14ac:dyDescent="0.25">
      <c r="B285" s="1"/>
      <c r="C285" s="1" t="s">
        <v>3</v>
      </c>
      <c r="D285" s="565">
        <f>G29</f>
        <v>0.6429150171890301</v>
      </c>
      <c r="E285" s="566">
        <f>G57</f>
        <v>0.23954511610757881</v>
      </c>
      <c r="F285" s="566">
        <f>G76</f>
        <v>1.5341087979322747</v>
      </c>
      <c r="G285" s="566">
        <f>G95</f>
        <v>2.8245896787330347</v>
      </c>
      <c r="H285" s="566">
        <f>G114</f>
        <v>0.13929222702519356</v>
      </c>
      <c r="I285" s="566">
        <f>G133</f>
        <v>0.23298135417464103</v>
      </c>
      <c r="J285" s="566">
        <f>G152</f>
        <v>0.74345933485554205</v>
      </c>
      <c r="K285" s="566">
        <f>G171</f>
        <v>0.61571500773299637</v>
      </c>
      <c r="L285" s="566">
        <f>G190</f>
        <v>1.2171581196011692</v>
      </c>
      <c r="M285" s="566">
        <f>G209</f>
        <v>0.35364142149260158</v>
      </c>
      <c r="N285" s="566">
        <f>G248</f>
        <v>1.2055802282383725E-2</v>
      </c>
      <c r="O285" s="566">
        <f>G267</f>
        <v>0.88640955091375551</v>
      </c>
      <c r="P285" s="566">
        <f>J229</f>
        <v>0.25024224305199477</v>
      </c>
    </row>
    <row r="286" spans="2:16" x14ac:dyDescent="0.25">
      <c r="B286" s="78" t="s">
        <v>98</v>
      </c>
      <c r="C286" s="1" t="s">
        <v>143</v>
      </c>
      <c r="D286" s="682">
        <f>D285</f>
        <v>0.6429150171890301</v>
      </c>
      <c r="E286" s="682">
        <f t="shared" ref="E286:F286" si="63">E285</f>
        <v>0.23954511610757881</v>
      </c>
      <c r="F286" s="682">
        <f t="shared" si="63"/>
        <v>1.5341087979322747</v>
      </c>
      <c r="G286" s="566">
        <f>G96</f>
        <v>3.20559788442465</v>
      </c>
      <c r="H286" s="566">
        <f>G115</f>
        <v>0.66399685939772524</v>
      </c>
      <c r="I286" s="566">
        <f>G134</f>
        <v>0.37989665516006088</v>
      </c>
      <c r="J286" s="566">
        <f>G153</f>
        <v>1.2317905333531498</v>
      </c>
      <c r="K286" s="566">
        <f>G172</f>
        <v>0.8586501808521404</v>
      </c>
      <c r="L286" s="566">
        <f>G191</f>
        <v>3.5800174115750187</v>
      </c>
      <c r="M286" s="566">
        <f>G210</f>
        <v>0.82940227039740022</v>
      </c>
      <c r="N286" s="566">
        <f t="shared" ref="N286:N287" si="64">G249</f>
        <v>0.18764225587918615</v>
      </c>
      <c r="O286" s="566">
        <f t="shared" ref="O286:O287" si="65">G268</f>
        <v>5.8017817890478609</v>
      </c>
      <c r="P286" s="566">
        <f>J230</f>
        <v>1.448167679554806</v>
      </c>
    </row>
    <row r="287" spans="2:16" x14ac:dyDescent="0.25">
      <c r="B287" s="78"/>
      <c r="C287" s="1" t="s">
        <v>4</v>
      </c>
      <c r="D287" s="682">
        <f>D285</f>
        <v>0.6429150171890301</v>
      </c>
      <c r="E287" s="682">
        <f>E285</f>
        <v>0.23954511610757881</v>
      </c>
      <c r="F287" s="682">
        <f>F285</f>
        <v>1.5341087979322747</v>
      </c>
      <c r="G287" s="566">
        <f>G97</f>
        <v>7.6381859511274959</v>
      </c>
      <c r="H287" s="566">
        <f>G116</f>
        <v>5.3995147544880835</v>
      </c>
      <c r="I287" s="566">
        <f>G135</f>
        <v>6.2145358495051672</v>
      </c>
      <c r="J287" s="566">
        <f>G154</f>
        <v>2.7149783164679189</v>
      </c>
      <c r="K287" s="566">
        <f>G173</f>
        <v>3.5807539456812578</v>
      </c>
      <c r="L287" s="566">
        <f>G192</f>
        <v>13.768778199204752</v>
      </c>
      <c r="M287" s="566">
        <f>G211</f>
        <v>3.6247844537981351</v>
      </c>
      <c r="N287" s="566">
        <f t="shared" si="64"/>
        <v>4.4339459308239579</v>
      </c>
      <c r="O287" s="566">
        <f t="shared" si="65"/>
        <v>42.974727123123323</v>
      </c>
      <c r="P287" s="566">
        <f>J231</f>
        <v>3.6564571380861182</v>
      </c>
    </row>
    <row r="288" spans="2:16" x14ac:dyDescent="0.25">
      <c r="B288" s="78"/>
      <c r="C288" s="1"/>
      <c r="D288" s="1" t="s">
        <v>609</v>
      </c>
      <c r="E288" s="1" t="s">
        <v>610</v>
      </c>
      <c r="F288" s="1" t="s">
        <v>611</v>
      </c>
      <c r="G288" s="1" t="s">
        <v>613</v>
      </c>
      <c r="H288" s="1" t="s">
        <v>1050</v>
      </c>
      <c r="I288" s="1" t="s">
        <v>682</v>
      </c>
      <c r="J288" s="1" t="s">
        <v>684</v>
      </c>
      <c r="K288" s="1" t="s">
        <v>284</v>
      </c>
      <c r="L288" s="1" t="s">
        <v>517</v>
      </c>
      <c r="M288" s="1" t="s">
        <v>516</v>
      </c>
      <c r="N288" s="1" t="s">
        <v>587</v>
      </c>
      <c r="O288" s="1" t="s">
        <v>530</v>
      </c>
      <c r="P288" s="1" t="s">
        <v>586</v>
      </c>
    </row>
    <row r="289" spans="2:16" x14ac:dyDescent="0.25">
      <c r="B289" s="78"/>
      <c r="C289" s="1" t="s">
        <v>3</v>
      </c>
      <c r="D289" s="565">
        <f>H29</f>
        <v>0.66396345838459547</v>
      </c>
      <c r="E289" s="566">
        <f>H57</f>
        <v>0.25529143842514002</v>
      </c>
      <c r="F289" s="566">
        <f>H76</f>
        <v>1.6623328168639273</v>
      </c>
      <c r="G289" s="566">
        <f>H95</f>
        <v>2.4592198695436891</v>
      </c>
      <c r="H289" s="566">
        <f>H114</f>
        <v>9.6936370599733021E-2</v>
      </c>
      <c r="I289" s="566">
        <f>H133</f>
        <v>0.2745851674201128</v>
      </c>
      <c r="J289" s="566">
        <f>H152</f>
        <v>0.4207489642314331</v>
      </c>
      <c r="K289" s="566">
        <f>H171</f>
        <v>0.20358318804074918</v>
      </c>
      <c r="L289" s="566">
        <f>H190</f>
        <v>10.126318784982789</v>
      </c>
      <c r="M289" s="566">
        <f>H209</f>
        <v>2.9735491615787888</v>
      </c>
      <c r="N289" s="566">
        <f>H248</f>
        <v>1.6494408783486014E-2</v>
      </c>
      <c r="O289" s="566">
        <f>H267</f>
        <v>0.58110646399103383</v>
      </c>
      <c r="P289" s="596"/>
    </row>
    <row r="290" spans="2:16" x14ac:dyDescent="0.25">
      <c r="B290" s="78" t="s">
        <v>99</v>
      </c>
      <c r="C290" s="1" t="s">
        <v>143</v>
      </c>
      <c r="D290" s="565">
        <f>D289</f>
        <v>0.66396345838459547</v>
      </c>
      <c r="E290" s="565">
        <f t="shared" ref="E290:F290" si="66">E289</f>
        <v>0.25529143842514002</v>
      </c>
      <c r="F290" s="565">
        <f t="shared" si="66"/>
        <v>1.6623328168639273</v>
      </c>
      <c r="G290" s="566">
        <f>H96</f>
        <v>3.0012337205724409</v>
      </c>
      <c r="H290" s="566">
        <f>H115</f>
        <v>0.51255897918420934</v>
      </c>
      <c r="I290" s="566">
        <f>H134</f>
        <v>0.4363677795757453</v>
      </c>
      <c r="J290" s="566">
        <f>H153</f>
        <v>0.71790292021988267</v>
      </c>
      <c r="K290" s="566">
        <f t="shared" ref="K290:K291" si="67">H172</f>
        <v>0.57504135118571575</v>
      </c>
      <c r="L290" s="566">
        <f>H191</f>
        <v>14.899309128050984</v>
      </c>
      <c r="M290" s="566">
        <f>H210</f>
        <v>3.373906694394897</v>
      </c>
      <c r="N290" s="566">
        <f t="shared" ref="N290:N291" si="68">H249</f>
        <v>0.29424740774031916</v>
      </c>
      <c r="O290" s="566">
        <f t="shared" ref="O290:O291" si="69">H268</f>
        <v>4.3517708236972075</v>
      </c>
      <c r="P290" s="596"/>
    </row>
    <row r="291" spans="2:16" x14ac:dyDescent="0.25">
      <c r="B291" s="78"/>
      <c r="C291" s="1" t="s">
        <v>4</v>
      </c>
      <c r="D291" s="565">
        <f t="shared" ref="D291" si="70">H31</f>
        <v>2.9792680253487807</v>
      </c>
      <c r="E291" s="566">
        <f>H59</f>
        <v>10.312620252766919</v>
      </c>
      <c r="F291" s="566">
        <f>H78</f>
        <v>15.180177012072956</v>
      </c>
      <c r="G291" s="566">
        <f>H97</f>
        <v>6.2137011113673815</v>
      </c>
      <c r="H291" s="566">
        <f>H116</f>
        <v>4.3338210529443826</v>
      </c>
      <c r="I291" s="566">
        <f>H135</f>
        <v>6.4582431377210421</v>
      </c>
      <c r="J291" s="566">
        <f>H154</f>
        <v>1.2891263948696596</v>
      </c>
      <c r="K291" s="566">
        <f t="shared" si="67"/>
        <v>2.6999267718773181</v>
      </c>
      <c r="L291" s="566">
        <f>H192</f>
        <v>66.417197342631354</v>
      </c>
      <c r="M291" s="566">
        <f>H211</f>
        <v>20.280878298084694</v>
      </c>
      <c r="N291" s="566">
        <f t="shared" si="68"/>
        <v>4.8563336649107818</v>
      </c>
      <c r="O291" s="566">
        <f t="shared" si="69"/>
        <v>26.969668811465063</v>
      </c>
      <c r="P291" s="596"/>
    </row>
    <row r="292" spans="2:16" x14ac:dyDescent="0.25">
      <c r="B292" s="78"/>
      <c r="C292" s="1"/>
      <c r="D292" s="1" t="s">
        <v>609</v>
      </c>
      <c r="E292" s="1" t="s">
        <v>610</v>
      </c>
      <c r="F292" s="1" t="s">
        <v>611</v>
      </c>
      <c r="G292" s="1" t="s">
        <v>613</v>
      </c>
      <c r="H292" s="1" t="s">
        <v>1050</v>
      </c>
      <c r="I292" s="1" t="s">
        <v>682</v>
      </c>
      <c r="J292" s="1" t="s">
        <v>684</v>
      </c>
      <c r="K292" s="1" t="s">
        <v>284</v>
      </c>
      <c r="L292" s="1" t="s">
        <v>517</v>
      </c>
      <c r="M292" s="1" t="s">
        <v>516</v>
      </c>
      <c r="N292" s="1" t="s">
        <v>587</v>
      </c>
      <c r="O292" s="1" t="s">
        <v>530</v>
      </c>
      <c r="P292" s="1" t="s">
        <v>586</v>
      </c>
    </row>
    <row r="293" spans="2:16" x14ac:dyDescent="0.25">
      <c r="B293" s="78"/>
      <c r="C293" s="1" t="s">
        <v>3</v>
      </c>
      <c r="D293" s="565">
        <f>I29</f>
        <v>0.63061042355861807</v>
      </c>
      <c r="E293" s="566">
        <f>I57</f>
        <v>0.23492069301669891</v>
      </c>
      <c r="F293" s="566">
        <f>I76</f>
        <v>1.5091639394293126</v>
      </c>
      <c r="G293" s="566">
        <f>I95</f>
        <v>2.6671035635518776</v>
      </c>
      <c r="H293" s="566">
        <f>I114</f>
        <v>0.10698707205345701</v>
      </c>
      <c r="I293" s="566">
        <f>I133</f>
        <v>0.1787996439014686</v>
      </c>
      <c r="J293" s="566">
        <f>I152</f>
        <v>0.29951621182576604</v>
      </c>
      <c r="K293" s="566">
        <f>I171</f>
        <v>0.29699194490650477</v>
      </c>
      <c r="L293" s="566">
        <f>I190</f>
        <v>1.5845913126173978</v>
      </c>
      <c r="M293" s="566">
        <f>I209</f>
        <v>0.5538384771476752</v>
      </c>
      <c r="N293" s="566">
        <f>I248</f>
        <v>1.0708510778925573E-2</v>
      </c>
      <c r="O293" s="566">
        <f>I267</f>
        <v>0.60632978296226381</v>
      </c>
      <c r="P293" s="566">
        <f>K229</f>
        <v>0.40256360838799171</v>
      </c>
    </row>
    <row r="294" spans="2:16" x14ac:dyDescent="0.25">
      <c r="B294" s="78" t="s">
        <v>100</v>
      </c>
      <c r="C294" s="1" t="s">
        <v>143</v>
      </c>
      <c r="D294" s="682">
        <f>D293</f>
        <v>0.63061042355861807</v>
      </c>
      <c r="E294" s="682">
        <f t="shared" ref="E294:F294" si="71">E293</f>
        <v>0.23492069301669891</v>
      </c>
      <c r="F294" s="682">
        <f t="shared" si="71"/>
        <v>1.5091639394293126</v>
      </c>
      <c r="G294" s="566">
        <f>I96</f>
        <v>3.1808442328074711</v>
      </c>
      <c r="H294" s="566">
        <f>I115</f>
        <v>0.5095789851191842</v>
      </c>
      <c r="I294" s="566">
        <f>I134</f>
        <v>0.298992737857455</v>
      </c>
      <c r="J294" s="566">
        <f>I153</f>
        <v>0.48878496695821833</v>
      </c>
      <c r="K294" s="566">
        <f t="shared" ref="K294:K295" si="72">I172</f>
        <v>0.84712467506888922</v>
      </c>
      <c r="L294" s="566">
        <f>I191</f>
        <v>3.8674796517407959</v>
      </c>
      <c r="M294" s="566">
        <f>I210</f>
        <v>1.0353269702240651</v>
      </c>
      <c r="N294" s="566">
        <f t="shared" ref="N294:N295" si="73">I249</f>
        <v>0.16724768592681119</v>
      </c>
      <c r="O294" s="566">
        <f t="shared" ref="O294:O295" si="74">I268</f>
        <v>3.9405953706444419</v>
      </c>
      <c r="P294" s="566">
        <f>K230</f>
        <v>2.1250286602162913</v>
      </c>
    </row>
    <row r="295" spans="2:16" x14ac:dyDescent="0.25">
      <c r="B295" s="78"/>
      <c r="C295" s="1" t="s">
        <v>4</v>
      </c>
      <c r="D295" s="565">
        <f>I30</f>
        <v>1.8910476949518602</v>
      </c>
      <c r="E295" s="566">
        <f>I58</f>
        <v>2.5625298809905677</v>
      </c>
      <c r="F295" s="566">
        <f>I77</f>
        <v>9.5422799447289286</v>
      </c>
      <c r="G295" s="566">
        <f>I97</f>
        <v>7.2376818188586372</v>
      </c>
      <c r="H295" s="566">
        <f>I116</f>
        <v>4.11713000029716</v>
      </c>
      <c r="I295" s="566">
        <f>I135</f>
        <v>4.8436823532907889</v>
      </c>
      <c r="J295" s="566">
        <f>I154</f>
        <v>1.0729854424364234</v>
      </c>
      <c r="K295" s="566">
        <f t="shared" si="72"/>
        <v>3.5061549051462291</v>
      </c>
      <c r="L295" s="566">
        <f>I192</f>
        <v>13.663335494045088</v>
      </c>
      <c r="M295" s="566">
        <f>I211</f>
        <v>4.1196925454148001</v>
      </c>
      <c r="N295" s="566">
        <f t="shared" si="73"/>
        <v>4.0028315651280515</v>
      </c>
      <c r="O295" s="566">
        <f t="shared" si="74"/>
        <v>27.542331142143283</v>
      </c>
      <c r="P295" s="566">
        <f>K231</f>
        <v>6.8253866577607543</v>
      </c>
    </row>
    <row r="296" spans="2:16" x14ac:dyDescent="0.25">
      <c r="B296" s="78"/>
      <c r="C296" s="1"/>
      <c r="D296" s="1" t="s">
        <v>609</v>
      </c>
      <c r="E296" s="1" t="s">
        <v>610</v>
      </c>
      <c r="F296" s="1" t="s">
        <v>611</v>
      </c>
      <c r="G296" s="1" t="s">
        <v>613</v>
      </c>
      <c r="H296" s="1" t="s">
        <v>1050</v>
      </c>
      <c r="I296" s="1" t="s">
        <v>682</v>
      </c>
      <c r="J296" s="1" t="s">
        <v>684</v>
      </c>
      <c r="K296" s="1" t="s">
        <v>284</v>
      </c>
      <c r="L296" s="1" t="s">
        <v>517</v>
      </c>
      <c r="M296" s="1" t="s">
        <v>516</v>
      </c>
      <c r="N296" s="1" t="s">
        <v>587</v>
      </c>
      <c r="O296" s="1" t="s">
        <v>530</v>
      </c>
      <c r="P296" s="1" t="s">
        <v>586</v>
      </c>
    </row>
    <row r="297" spans="2:16" x14ac:dyDescent="0.25">
      <c r="B297" s="78"/>
      <c r="C297" s="1" t="s">
        <v>3</v>
      </c>
      <c r="D297" s="565">
        <f>J29</f>
        <v>0.60090081393807571</v>
      </c>
      <c r="E297" s="566">
        <f>J57</f>
        <v>0.2224660310468925</v>
      </c>
      <c r="F297" s="566">
        <f>J76</f>
        <v>1.4334143980679948</v>
      </c>
      <c r="G297" s="566">
        <f>J95</f>
        <v>2.6913059552356544</v>
      </c>
      <c r="H297" s="566">
        <f>J114</f>
        <v>4.6679478461419045E-2</v>
      </c>
      <c r="I297" s="566">
        <f>J133</f>
        <v>8.0930365134348814E-2</v>
      </c>
      <c r="J297" s="566">
        <f>J152</f>
        <v>0.22885926924722313</v>
      </c>
      <c r="K297" s="566">
        <f>J171</f>
        <v>0.33659087089403877</v>
      </c>
      <c r="L297" s="566">
        <f>J190</f>
        <v>1.3103681048848559</v>
      </c>
      <c r="M297" s="566">
        <f>J209</f>
        <v>0.56519434228088161</v>
      </c>
      <c r="N297" s="566">
        <f>J248</f>
        <v>6.2575930372713714E-3</v>
      </c>
      <c r="O297" s="566">
        <f>J267</f>
        <v>0.44772132642307205</v>
      </c>
      <c r="P297" s="564">
        <f>L229</f>
        <v>1.3227089989891145</v>
      </c>
    </row>
    <row r="298" spans="2:16" x14ac:dyDescent="0.25">
      <c r="B298" s="78" t="s">
        <v>101</v>
      </c>
      <c r="C298" s="1" t="s">
        <v>143</v>
      </c>
      <c r="D298" s="682">
        <f>D297</f>
        <v>0.60090081393807571</v>
      </c>
      <c r="E298" s="682">
        <f t="shared" ref="E298:F298" si="75">E297</f>
        <v>0.2224660310468925</v>
      </c>
      <c r="F298" s="682">
        <f t="shared" si="75"/>
        <v>1.4334143980679948</v>
      </c>
      <c r="G298" s="566">
        <f>J96</f>
        <v>3.249856632335836</v>
      </c>
      <c r="H298" s="566">
        <f>J115</f>
        <v>0.20671600339740492</v>
      </c>
      <c r="I298" s="566">
        <f>J134</f>
        <v>0.13073366675548631</v>
      </c>
      <c r="J298" s="566">
        <f>J153</f>
        <v>0.33030759808822813</v>
      </c>
      <c r="K298" s="566">
        <f>J172</f>
        <v>1.4676927509914539</v>
      </c>
      <c r="L298" s="566">
        <f>J191</f>
        <v>2.487651949117343</v>
      </c>
      <c r="M298" s="566">
        <f>J210</f>
        <v>0.78556225508589017</v>
      </c>
      <c r="N298" s="566">
        <f>J249</f>
        <v>9.0040669035229642E-2</v>
      </c>
      <c r="O298" s="566">
        <f>J268</f>
        <v>2.6369182477811908</v>
      </c>
      <c r="P298" s="564">
        <f t="shared" ref="P298:P299" si="76">L230</f>
        <v>4.2500573204325827</v>
      </c>
    </row>
    <row r="299" spans="2:16" x14ac:dyDescent="0.25">
      <c r="B299" s="78"/>
      <c r="C299" s="1" t="s">
        <v>4</v>
      </c>
      <c r="D299" s="565">
        <f>J30</f>
        <v>1.7422596783439694</v>
      </c>
      <c r="E299" s="566">
        <f>J58</f>
        <v>2.3489857242413472</v>
      </c>
      <c r="F299" s="566">
        <f>J77</f>
        <v>8.8001026156944686</v>
      </c>
      <c r="G299" s="566">
        <f>J97</f>
        <v>6.9263836761120308</v>
      </c>
      <c r="H299" s="566">
        <f>J116</f>
        <v>1.5911613527718502</v>
      </c>
      <c r="I299" s="566">
        <f>J135</f>
        <v>2.0331506174306977</v>
      </c>
      <c r="J299" s="566">
        <f>J154</f>
        <v>0.67414811469858082</v>
      </c>
      <c r="K299" s="566">
        <f>J173</f>
        <v>4.6748732068616201</v>
      </c>
      <c r="L299" s="566">
        <f>J192</f>
        <v>7.0262101228306184</v>
      </c>
      <c r="M299" s="566">
        <f>J211</f>
        <v>2.511613212158303</v>
      </c>
      <c r="N299" s="566">
        <f>J250</f>
        <v>2.0020056486950497</v>
      </c>
      <c r="O299" s="566">
        <f>J269</f>
        <v>17.324449681728776</v>
      </c>
      <c r="P299" s="564">
        <f t="shared" si="76"/>
        <v>999</v>
      </c>
    </row>
    <row r="300" spans="2:16" s="404" customFormat="1" x14ac:dyDescent="0.25">
      <c r="B300" s="15"/>
      <c r="C300" s="2"/>
      <c r="D300" s="1" t="s">
        <v>609</v>
      </c>
      <c r="E300" s="1" t="s">
        <v>610</v>
      </c>
      <c r="F300" s="1" t="s">
        <v>611</v>
      </c>
      <c r="G300" s="1" t="s">
        <v>613</v>
      </c>
      <c r="H300" s="1" t="s">
        <v>1050</v>
      </c>
      <c r="I300" s="1" t="s">
        <v>682</v>
      </c>
      <c r="J300" s="1" t="s">
        <v>684</v>
      </c>
      <c r="K300" s="1" t="s">
        <v>284</v>
      </c>
      <c r="L300" s="1" t="s">
        <v>517</v>
      </c>
      <c r="M300" s="1" t="s">
        <v>516</v>
      </c>
      <c r="N300" s="1" t="s">
        <v>587</v>
      </c>
      <c r="O300" s="1" t="s">
        <v>530</v>
      </c>
      <c r="P300" s="1" t="s">
        <v>586</v>
      </c>
    </row>
    <row r="301" spans="2:16" x14ac:dyDescent="0.25">
      <c r="B301" s="78"/>
      <c r="C301" s="1" t="s">
        <v>3</v>
      </c>
      <c r="D301" s="565">
        <f>K29</f>
        <v>0.40597429469117857</v>
      </c>
      <c r="E301" s="566">
        <f>K57</f>
        <v>1.1999016201635528</v>
      </c>
      <c r="F301" s="566">
        <f>K76</f>
        <v>1.3376316455180464</v>
      </c>
      <c r="G301" s="566">
        <f>K95</f>
        <v>2.4715159688914055</v>
      </c>
      <c r="H301" s="566">
        <f>K114</f>
        <v>4.6623973730787159E-2</v>
      </c>
      <c r="I301" s="566">
        <f>K133</f>
        <v>0.11889254671798678</v>
      </c>
      <c r="J301" s="566">
        <f>K152</f>
        <v>0.26068531571104958</v>
      </c>
      <c r="K301" s="566">
        <f>K171</f>
        <v>0.3824896260159551</v>
      </c>
      <c r="L301" s="566">
        <f>K190</f>
        <v>7.92436187927873</v>
      </c>
      <c r="M301" s="566">
        <f>K209</f>
        <v>4.1642123134067068</v>
      </c>
      <c r="N301" s="566">
        <f>K248</f>
        <v>1.1277803595937727E-2</v>
      </c>
      <c r="O301" s="566">
        <f>K267</f>
        <v>0.54207692536477015</v>
      </c>
      <c r="P301" s="596"/>
    </row>
    <row r="302" spans="2:16" x14ac:dyDescent="0.25">
      <c r="B302" s="78" t="s">
        <v>102</v>
      </c>
      <c r="C302" s="1" t="s">
        <v>143</v>
      </c>
      <c r="D302" s="682">
        <f>D301</f>
        <v>0.40597429469117857</v>
      </c>
      <c r="E302" s="682">
        <f t="shared" ref="E302:F302" si="77">E301</f>
        <v>1.1999016201635528</v>
      </c>
      <c r="F302" s="682">
        <f t="shared" si="77"/>
        <v>1.3376316455180464</v>
      </c>
      <c r="G302" s="566">
        <f>K96</f>
        <v>3.0232611240261842</v>
      </c>
      <c r="H302" s="566">
        <f>K115</f>
        <v>0.22795210777763275</v>
      </c>
      <c r="I302" s="566">
        <f>K134</f>
        <v>0.17840450656687976</v>
      </c>
      <c r="J302" s="566">
        <f>K153</f>
        <v>0.43141583938096228</v>
      </c>
      <c r="K302" s="566">
        <f>K172</f>
        <v>1.3333265132246213</v>
      </c>
      <c r="L302" s="566">
        <f>K191</f>
        <v>9.8920014061677186</v>
      </c>
      <c r="M302" s="566">
        <f>K210</f>
        <v>3.4473698866848985</v>
      </c>
      <c r="N302" s="566">
        <f>K249</f>
        <v>0.18143756372785039</v>
      </c>
      <c r="O302" s="566">
        <f>K268</f>
        <v>3.7212247950245501</v>
      </c>
      <c r="P302" s="596"/>
    </row>
    <row r="303" spans="2:16" x14ac:dyDescent="0.25">
      <c r="B303" s="78"/>
      <c r="C303" s="1" t="s">
        <v>4</v>
      </c>
      <c r="D303" s="565">
        <f>K30</f>
        <v>1.4604326506908307</v>
      </c>
      <c r="E303" s="566">
        <f>K58</f>
        <v>3.7125432909961034</v>
      </c>
      <c r="F303" s="566">
        <f>K77</f>
        <v>11.147451416086215</v>
      </c>
      <c r="G303" s="566">
        <f>K97</f>
        <v>5.7685404347321061</v>
      </c>
      <c r="H303" s="566">
        <f>K116</f>
        <v>1.7154708334571509</v>
      </c>
      <c r="I303" s="566">
        <f>K135</f>
        <v>2.5336184617213293</v>
      </c>
      <c r="J303" s="566">
        <f>K154</f>
        <v>0.70895576216372957</v>
      </c>
      <c r="K303" s="566">
        <f>K173</f>
        <v>4.1520255455679314</v>
      </c>
      <c r="L303" s="566">
        <f>K192</f>
        <v>37.366662925963013</v>
      </c>
      <c r="M303" s="566">
        <f>K211</f>
        <v>16.905088927988572</v>
      </c>
      <c r="N303" s="566">
        <f>K250</f>
        <v>2.5898153326330156</v>
      </c>
      <c r="O303" s="566">
        <f>K269</f>
        <v>20.732538143708204</v>
      </c>
      <c r="P303" s="596"/>
    </row>
    <row r="304" spans="2:16" x14ac:dyDescent="0.25">
      <c r="B304" s="78"/>
      <c r="C304" s="1"/>
      <c r="D304" s="1" t="s">
        <v>609</v>
      </c>
      <c r="E304" s="1" t="s">
        <v>610</v>
      </c>
      <c r="F304" s="1" t="s">
        <v>611</v>
      </c>
      <c r="G304" s="1" t="s">
        <v>613</v>
      </c>
      <c r="H304" s="1" t="s">
        <v>1050</v>
      </c>
      <c r="I304" s="1" t="s">
        <v>682</v>
      </c>
      <c r="J304" s="1" t="s">
        <v>684</v>
      </c>
      <c r="K304" s="1" t="s">
        <v>284</v>
      </c>
      <c r="L304" s="1" t="s">
        <v>517</v>
      </c>
      <c r="M304" s="1" t="s">
        <v>516</v>
      </c>
      <c r="N304" s="1" t="s">
        <v>587</v>
      </c>
      <c r="O304" s="1" t="s">
        <v>530</v>
      </c>
      <c r="P304" s="1" t="s">
        <v>586</v>
      </c>
    </row>
    <row r="305" spans="2:16" x14ac:dyDescent="0.25">
      <c r="B305" s="78"/>
      <c r="C305" s="1" t="s">
        <v>3</v>
      </c>
      <c r="D305" s="565">
        <f>L29</f>
        <v>0.4868994969420492</v>
      </c>
      <c r="E305" s="566">
        <f>L57</f>
        <v>0.81789746832289745</v>
      </c>
      <c r="F305" s="566">
        <f>L76</f>
        <v>1.6483286469586516</v>
      </c>
      <c r="G305" s="566">
        <f>L95</f>
        <v>2.5348881732219546</v>
      </c>
      <c r="H305" s="566">
        <f>L114</f>
        <v>7.8736469693959824E-2</v>
      </c>
      <c r="I305" s="566">
        <f>L133</f>
        <v>0.13180088036165377</v>
      </c>
      <c r="J305" s="566">
        <f>L152</f>
        <v>0.26565936336555379</v>
      </c>
      <c r="K305" s="566">
        <f>L171</f>
        <v>0.45079134494737616</v>
      </c>
      <c r="L305" s="566">
        <f>L190</f>
        <v>0.66067305016684963</v>
      </c>
      <c r="M305" s="566">
        <f>L209</f>
        <v>0.15123554993844357</v>
      </c>
      <c r="N305" s="566">
        <f>L248</f>
        <v>1.1903451895887219E-2</v>
      </c>
      <c r="O305" s="566">
        <f>L267</f>
        <v>0.44618125306436862</v>
      </c>
      <c r="P305" s="566">
        <f>M229</f>
        <v>1.0683418837988998</v>
      </c>
    </row>
    <row r="306" spans="2:16" x14ac:dyDescent="0.25">
      <c r="B306" s="78" t="s">
        <v>103</v>
      </c>
      <c r="C306" s="1" t="s">
        <v>143</v>
      </c>
      <c r="D306" s="682">
        <f>D305</f>
        <v>0.4868994969420492</v>
      </c>
      <c r="E306" s="682">
        <f t="shared" ref="E306:F306" si="78">E305</f>
        <v>0.81789746832289745</v>
      </c>
      <c r="F306" s="682">
        <f t="shared" si="78"/>
        <v>1.6483286469586516</v>
      </c>
      <c r="G306" s="566">
        <f>L96</f>
        <v>3.0855380385660505</v>
      </c>
      <c r="H306" s="566">
        <f>L115</f>
        <v>0.35994901618275066</v>
      </c>
      <c r="I306" s="566">
        <f>L134</f>
        <v>0.20968321875717677</v>
      </c>
      <c r="J306" s="566">
        <f>L153</f>
        <v>0.37893432489956708</v>
      </c>
      <c r="K306" s="566">
        <f>L172</f>
        <v>1.362103344445303</v>
      </c>
      <c r="L306" s="566">
        <f>L191</f>
        <v>1.9973433701249086</v>
      </c>
      <c r="M306" s="566">
        <f>L210</f>
        <v>0.37185911719735759</v>
      </c>
      <c r="N306" s="566">
        <f>L249</f>
        <v>0.18203735732695073</v>
      </c>
      <c r="O306" s="566">
        <f>L268</f>
        <v>2.8063737797377675</v>
      </c>
      <c r="P306" s="566">
        <f t="shared" ref="P306:P307" si="79">M230</f>
        <v>4.8750587848119267</v>
      </c>
    </row>
    <row r="307" spans="2:16" x14ac:dyDescent="0.25">
      <c r="B307" s="78"/>
      <c r="C307" s="1" t="s">
        <v>4</v>
      </c>
      <c r="D307" s="565">
        <f>L30</f>
        <v>1.4301085330477894</v>
      </c>
      <c r="E307" s="566">
        <f>L58</f>
        <v>2.4536924049686921</v>
      </c>
      <c r="F307" s="566">
        <f>L77</f>
        <v>4.4881685325422414</v>
      </c>
      <c r="G307" s="566">
        <f>L97</f>
        <v>5.6837089577507509</v>
      </c>
      <c r="H307" s="566">
        <f>L116</f>
        <v>2.9942763638524799</v>
      </c>
      <c r="I307" s="566">
        <f>L135</f>
        <v>3.3609224492221674</v>
      </c>
      <c r="J307" s="566">
        <f>L154</f>
        <v>0.77696940438756756</v>
      </c>
      <c r="K307" s="566">
        <f>L173</f>
        <v>3.9943536894071174</v>
      </c>
      <c r="L307" s="566">
        <f>L192</f>
        <v>11.459009431480174</v>
      </c>
      <c r="M307" s="566">
        <f>L211</f>
        <v>2.4715551346142743</v>
      </c>
      <c r="N307" s="566">
        <f>L250</f>
        <v>2.8479900698425378</v>
      </c>
      <c r="O307" s="566">
        <f>L269</f>
        <v>16.731796989913821</v>
      </c>
      <c r="P307" s="566">
        <f t="shared" si="79"/>
        <v>106.88292733333732</v>
      </c>
    </row>
    <row r="308" spans="2:16" x14ac:dyDescent="0.25">
      <c r="B308" s="78"/>
      <c r="C308" s="1"/>
      <c r="D308" s="1" t="s">
        <v>609</v>
      </c>
      <c r="E308" s="1" t="s">
        <v>610</v>
      </c>
      <c r="F308" s="1" t="s">
        <v>611</v>
      </c>
      <c r="G308" s="1" t="s">
        <v>613</v>
      </c>
      <c r="H308" s="1" t="s">
        <v>1050</v>
      </c>
      <c r="I308" s="1" t="s">
        <v>682</v>
      </c>
      <c r="J308" s="1" t="s">
        <v>684</v>
      </c>
      <c r="K308" s="1" t="s">
        <v>284</v>
      </c>
      <c r="L308" s="1" t="s">
        <v>517</v>
      </c>
      <c r="M308" s="1" t="s">
        <v>516</v>
      </c>
      <c r="N308" s="1" t="s">
        <v>587</v>
      </c>
      <c r="O308" s="1" t="s">
        <v>530</v>
      </c>
      <c r="P308" s="1" t="s">
        <v>586</v>
      </c>
    </row>
    <row r="309" spans="2:16" x14ac:dyDescent="0.25">
      <c r="B309" s="78"/>
      <c r="C309" s="1" t="s">
        <v>3</v>
      </c>
      <c r="D309" s="565">
        <f>M29</f>
        <v>0.72524488781196317</v>
      </c>
      <c r="E309" s="566">
        <f>M57</f>
        <v>0.60034182185750484</v>
      </c>
      <c r="F309" s="566">
        <f>M76</f>
        <v>2.2058072569903748</v>
      </c>
      <c r="G309" s="566">
        <f>M95</f>
        <v>2.0039318666687072</v>
      </c>
      <c r="H309" s="566">
        <f>M114</f>
        <v>0.11187093268927811</v>
      </c>
      <c r="I309" s="566">
        <f>M133</f>
        <v>0.31596101456561032</v>
      </c>
      <c r="J309" s="566">
        <f>M152</f>
        <v>0.43967260185715307</v>
      </c>
      <c r="K309" s="566">
        <f>M171</f>
        <v>0.13286481745817319</v>
      </c>
      <c r="L309" s="566">
        <f>M190</f>
        <v>11.007245080048598</v>
      </c>
      <c r="M309" s="566">
        <f>M209</f>
        <v>5.2366789376180636</v>
      </c>
      <c r="N309" s="566">
        <f>M248</f>
        <v>9.0454923349605233E-3</v>
      </c>
      <c r="O309" s="566">
        <f>M267</f>
        <v>0.31411914856328699</v>
      </c>
      <c r="P309" s="596"/>
    </row>
    <row r="310" spans="2:16" x14ac:dyDescent="0.25">
      <c r="B310" s="78" t="s">
        <v>104</v>
      </c>
      <c r="C310" s="1" t="s">
        <v>143</v>
      </c>
      <c r="D310" s="682">
        <f>D309</f>
        <v>0.72524488781196317</v>
      </c>
      <c r="E310" s="682">
        <f t="shared" ref="E310:F310" si="80">E309</f>
        <v>0.60034182185750484</v>
      </c>
      <c r="F310" s="682">
        <f t="shared" si="80"/>
        <v>2.2058072569903748</v>
      </c>
      <c r="G310" s="566">
        <f>M96</f>
        <v>2.473989958850257</v>
      </c>
      <c r="H310" s="566">
        <f>M115</f>
        <v>0.55473155342088509</v>
      </c>
      <c r="I310" s="566">
        <f>M134</f>
        <v>0.52082605949363292</v>
      </c>
      <c r="J310" s="566">
        <f>M153</f>
        <v>0.71372096146131969</v>
      </c>
      <c r="K310" s="566">
        <f t="shared" ref="K310:K311" si="81">M172</f>
        <v>0.18453446869190729</v>
      </c>
      <c r="L310" s="566">
        <f>M191</f>
        <v>16.855476013364672</v>
      </c>
      <c r="M310" s="566">
        <f>M210</f>
        <v>6.9465299567076677</v>
      </c>
      <c r="N310" s="566">
        <f>M249</f>
        <v>0.15231721712585017</v>
      </c>
      <c r="O310" s="566">
        <f>M268</f>
        <v>2.2319725912936592</v>
      </c>
      <c r="P310" s="596"/>
    </row>
    <row r="311" spans="2:16" x14ac:dyDescent="0.25">
      <c r="B311" s="78"/>
      <c r="C311" s="1" t="s">
        <v>4</v>
      </c>
      <c r="D311" s="565">
        <f>M30</f>
        <v>2.1357590913092928</v>
      </c>
      <c r="E311" s="566">
        <f>M58</f>
        <v>1.668434633751225</v>
      </c>
      <c r="F311" s="566">
        <f>M77</f>
        <v>6.0697136344856926</v>
      </c>
      <c r="G311" s="566">
        <f>M97</f>
        <v>3.8882516008757659</v>
      </c>
      <c r="H311" s="566">
        <f>M116</f>
        <v>3.1368609526073601</v>
      </c>
      <c r="I311" s="566">
        <f>M135</f>
        <v>8.4453948724044796</v>
      </c>
      <c r="J311" s="566">
        <f>M154</f>
        <v>1.309140229310559</v>
      </c>
      <c r="K311" s="566">
        <f t="shared" si="81"/>
        <v>0.7888848536579034</v>
      </c>
      <c r="L311" s="566">
        <f>M192</f>
        <v>49.276900639591403</v>
      </c>
      <c r="M311" s="566">
        <f>M211</f>
        <v>26.10805982956699</v>
      </c>
      <c r="N311" s="566">
        <f>M250</f>
        <v>2.2262197861267032</v>
      </c>
      <c r="O311" s="566">
        <f>M269</f>
        <v>15.941106364055424</v>
      </c>
      <c r="P311" s="596"/>
    </row>
    <row r="312" spans="2:16" x14ac:dyDescent="0.25">
      <c r="B312" s="78"/>
      <c r="C312" s="1"/>
      <c r="D312" s="1" t="s">
        <v>609</v>
      </c>
      <c r="E312" s="1" t="s">
        <v>610</v>
      </c>
      <c r="F312" s="1" t="s">
        <v>611</v>
      </c>
      <c r="G312" s="1" t="s">
        <v>613</v>
      </c>
      <c r="H312" s="1" t="s">
        <v>1050</v>
      </c>
      <c r="I312" s="1" t="s">
        <v>682</v>
      </c>
      <c r="J312" s="1" t="s">
        <v>684</v>
      </c>
      <c r="K312" s="1" t="s">
        <v>284</v>
      </c>
      <c r="L312" s="1" t="s">
        <v>517</v>
      </c>
      <c r="M312" s="1" t="s">
        <v>516</v>
      </c>
      <c r="N312" s="1" t="s">
        <v>587</v>
      </c>
      <c r="O312" s="1" t="s">
        <v>530</v>
      </c>
      <c r="P312" s="1" t="s">
        <v>586</v>
      </c>
    </row>
    <row r="313" spans="2:16" x14ac:dyDescent="0.25">
      <c r="B313" s="78"/>
      <c r="C313" s="1" t="s">
        <v>3</v>
      </c>
      <c r="D313" s="565">
        <f>N29</f>
        <v>0.60923379903120745</v>
      </c>
      <c r="E313" s="566">
        <f>N57</f>
        <v>0.86511425453767232</v>
      </c>
      <c r="F313" s="566">
        <f>N76</f>
        <v>1.4502122230453518</v>
      </c>
      <c r="G313" s="566">
        <f>N95</f>
        <v>2.6433325870496307</v>
      </c>
      <c r="H313" s="566">
        <f>N114</f>
        <v>5.9275528204976585E-2</v>
      </c>
      <c r="I313" s="566">
        <f>N133</f>
        <v>9.6506920766901386E-2</v>
      </c>
      <c r="J313" s="566">
        <f>N152</f>
        <v>0.12906119914065306</v>
      </c>
      <c r="K313" s="566">
        <f>N171</f>
        <v>0.31555394146316135</v>
      </c>
      <c r="L313" s="566">
        <f>N190</f>
        <v>0.37280482288653799</v>
      </c>
      <c r="M313" s="566">
        <f>N209</f>
        <v>9.587878734814366E-2</v>
      </c>
      <c r="N313" s="566">
        <f>N248</f>
        <v>7.6757498848940668E-3</v>
      </c>
      <c r="O313" s="566">
        <f>N267</f>
        <v>0.5404636011821371</v>
      </c>
      <c r="P313" s="566">
        <f>N229</f>
        <v>0.40256360838799171</v>
      </c>
    </row>
    <row r="314" spans="2:16" x14ac:dyDescent="0.25">
      <c r="B314" s="78" t="s">
        <v>105</v>
      </c>
      <c r="C314" s="1" t="s">
        <v>143</v>
      </c>
      <c r="D314" s="682">
        <f>D313</f>
        <v>0.60923379903120745</v>
      </c>
      <c r="E314" s="682">
        <f t="shared" ref="E314:F314" si="82">E313</f>
        <v>0.86511425453767232</v>
      </c>
      <c r="F314" s="682">
        <f t="shared" si="82"/>
        <v>1.4502122230453518</v>
      </c>
      <c r="G314" s="566">
        <f>N96</f>
        <v>3.2692010170521217</v>
      </c>
      <c r="H314" s="566">
        <f>N115</f>
        <v>0.2902237928493368</v>
      </c>
      <c r="I314" s="566">
        <f>N134</f>
        <v>0.15985750340893617</v>
      </c>
      <c r="J314" s="566">
        <f>N153</f>
        <v>0.1979710745884633</v>
      </c>
      <c r="K314" s="566">
        <f>N172</f>
        <v>1.0097726126821163</v>
      </c>
      <c r="L314" s="566">
        <f>N191</f>
        <v>1.7463673373903525</v>
      </c>
      <c r="M314" s="566">
        <f>N210</f>
        <v>0.40829922657431517</v>
      </c>
      <c r="N314" s="566">
        <f>N249</f>
        <v>0.11638408941419627</v>
      </c>
      <c r="O314" s="566">
        <f>N268</f>
        <v>3.2769161503253783</v>
      </c>
      <c r="P314" s="566">
        <f t="shared" ref="P314:P315" si="83">N230</f>
        <v>2.6419275235121464</v>
      </c>
    </row>
    <row r="315" spans="2:16" x14ac:dyDescent="0.25">
      <c r="B315" s="78"/>
      <c r="C315" s="1" t="s">
        <v>4</v>
      </c>
      <c r="D315" s="565">
        <f>N30</f>
        <v>1.7829878266688974</v>
      </c>
      <c r="E315" s="566">
        <f>N58</f>
        <v>2.6851728205317671</v>
      </c>
      <c r="F315" s="566">
        <f>N77</f>
        <v>7.6894100525485776</v>
      </c>
      <c r="G315" s="566">
        <f>N97</f>
        <v>7.1046361971884409</v>
      </c>
      <c r="H315" s="566">
        <f>N116</f>
        <v>2.5142778627768925</v>
      </c>
      <c r="I315" s="566">
        <f>N135</f>
        <v>2.5532589149129721</v>
      </c>
      <c r="J315" s="566">
        <f>N154</f>
        <v>0.43243093547362355</v>
      </c>
      <c r="K315" s="566">
        <f>N173</f>
        <v>3.7678082562765436</v>
      </c>
      <c r="L315" s="566">
        <f>N192</f>
        <v>6.9303480906349693</v>
      </c>
      <c r="M315" s="566">
        <f>N211</f>
        <v>1.8510674932655069</v>
      </c>
      <c r="N315" s="566">
        <f>N250</f>
        <v>2.8409891953250956</v>
      </c>
      <c r="O315" s="566">
        <f>N269</f>
        <v>22.831189651485243</v>
      </c>
      <c r="P315" s="566">
        <f t="shared" si="83"/>
        <v>8.5317333222009442</v>
      </c>
    </row>
    <row r="316" spans="2:16" x14ac:dyDescent="0.25">
      <c r="B316" s="78"/>
      <c r="C316" s="1"/>
      <c r="D316" s="1" t="s">
        <v>609</v>
      </c>
      <c r="E316" s="1" t="s">
        <v>610</v>
      </c>
      <c r="F316" s="1" t="s">
        <v>611</v>
      </c>
      <c r="G316" s="1" t="s">
        <v>613</v>
      </c>
      <c r="H316" s="1" t="s">
        <v>1050</v>
      </c>
      <c r="I316" s="1" t="s">
        <v>682</v>
      </c>
      <c r="J316" s="1" t="s">
        <v>684</v>
      </c>
      <c r="K316" s="1" t="s">
        <v>284</v>
      </c>
      <c r="L316" s="1" t="s">
        <v>517</v>
      </c>
      <c r="M316" s="1" t="s">
        <v>516</v>
      </c>
      <c r="N316" s="1" t="s">
        <v>587</v>
      </c>
      <c r="O316" s="1" t="s">
        <v>530</v>
      </c>
      <c r="P316" s="1" t="s">
        <v>586</v>
      </c>
    </row>
    <row r="317" spans="2:16" x14ac:dyDescent="0.25">
      <c r="B317" s="78"/>
      <c r="C317" s="1" t="s">
        <v>3</v>
      </c>
      <c r="D317" s="565">
        <f>O29</f>
        <v>0.60702325368392562</v>
      </c>
      <c r="E317" s="566">
        <f>O57</f>
        <v>0.88589449579711033</v>
      </c>
      <c r="F317" s="566">
        <f>O76</f>
        <v>1.4850173163984415</v>
      </c>
      <c r="G317" s="566">
        <f>O95</f>
        <v>2.5392287351624012</v>
      </c>
      <c r="H317" s="566">
        <f>O114</f>
        <v>0.12607962028164621</v>
      </c>
      <c r="I317" s="566">
        <f>O133</f>
        <v>0.20593887556508314</v>
      </c>
      <c r="J317" s="566">
        <f>O152</f>
        <v>0.31469717050734619</v>
      </c>
      <c r="K317" s="566">
        <f>O171</f>
        <v>0.2381539180854049</v>
      </c>
      <c r="L317" s="566">
        <f>O190</f>
        <v>2.5182962353043705</v>
      </c>
      <c r="M317" s="566">
        <f>O209</f>
        <v>1.6325208047800941</v>
      </c>
      <c r="N317" s="566">
        <f>O248</f>
        <v>1.495897240851508E-2</v>
      </c>
      <c r="O317" s="566">
        <f>O267</f>
        <v>0.50431595463234824</v>
      </c>
      <c r="P317" s="566">
        <f>O229</f>
        <v>0.49601587462091806</v>
      </c>
    </row>
    <row r="318" spans="2:16" x14ac:dyDescent="0.25">
      <c r="B318" s="78" t="s">
        <v>106</v>
      </c>
      <c r="C318" s="1" t="s">
        <v>143</v>
      </c>
      <c r="D318" s="682">
        <f>D317</f>
        <v>0.60702325368392562</v>
      </c>
      <c r="E318" s="682">
        <f t="shared" ref="E318:F318" si="84">E317</f>
        <v>0.88589449579711033</v>
      </c>
      <c r="F318" s="682">
        <f t="shared" si="84"/>
        <v>1.4850173163984415</v>
      </c>
      <c r="G318" s="566">
        <f>O96</f>
        <v>3.162528431083055</v>
      </c>
      <c r="H318" s="566">
        <f>O115</f>
        <v>0.62605418171785554</v>
      </c>
      <c r="I318" s="566">
        <f>O134</f>
        <v>0.33990753356426501</v>
      </c>
      <c r="J318" s="566">
        <f>O153</f>
        <v>0.46409885751588409</v>
      </c>
      <c r="K318" s="566">
        <f t="shared" ref="K318:K319" si="85">O172</f>
        <v>0.51170909426458588</v>
      </c>
      <c r="L318" s="566">
        <f>O191</f>
        <v>5.3010652364094852</v>
      </c>
      <c r="M318" s="566">
        <f>O210</f>
        <v>2.5268716777827707</v>
      </c>
      <c r="N318" s="566">
        <f>O249</f>
        <v>0.24876676614380006</v>
      </c>
      <c r="O318" s="566">
        <f>O268</f>
        <v>3.3850861980060221</v>
      </c>
      <c r="P318" s="566">
        <f>O230</f>
        <v>7.1384789349031772</v>
      </c>
    </row>
    <row r="319" spans="2:16" x14ac:dyDescent="0.25">
      <c r="B319" s="1"/>
      <c r="C319" s="1" t="s">
        <v>4</v>
      </c>
      <c r="D319" s="565">
        <f>O30</f>
        <v>1.7745057252748946</v>
      </c>
      <c r="E319" s="566">
        <f>O58</f>
        <v>2.7544676029971091</v>
      </c>
      <c r="F319" s="566">
        <f>O77</f>
        <v>9.2094097140988787</v>
      </c>
      <c r="G319" s="566">
        <f>O97</f>
        <v>6.154334540239665</v>
      </c>
      <c r="H319" s="566">
        <f>O116</f>
        <v>5.4895066670628792</v>
      </c>
      <c r="I319" s="566">
        <f>O135</f>
        <v>5.4895066670628792</v>
      </c>
      <c r="J319" s="566">
        <f>O154</f>
        <v>0.9381600465281823</v>
      </c>
      <c r="K319" s="566">
        <f t="shared" si="85"/>
        <v>1.8895445596596501</v>
      </c>
      <c r="L319" s="566">
        <f>O192</f>
        <v>17.021907591033258</v>
      </c>
      <c r="M319" s="566">
        <f>O211</f>
        <v>8.9681028553035773</v>
      </c>
      <c r="N319" s="566">
        <f>O250</f>
        <v>3.2844348096795573</v>
      </c>
      <c r="O319" s="566">
        <f>O269</f>
        <v>19.839304806685877</v>
      </c>
      <c r="P319" s="566">
        <f>O231</f>
        <v>15.268989619048192</v>
      </c>
    </row>
    <row r="323" spans="3:8" x14ac:dyDescent="0.25">
      <c r="C323" s="4" t="s">
        <v>916</v>
      </c>
      <c r="E323" s="4" t="s">
        <v>917</v>
      </c>
      <c r="H323" s="4" t="s">
        <v>918</v>
      </c>
    </row>
    <row r="324" spans="3:8" x14ac:dyDescent="0.25">
      <c r="C324" t="s">
        <v>310</v>
      </c>
      <c r="E324" t="s">
        <v>309</v>
      </c>
      <c r="H324" t="s">
        <v>308</v>
      </c>
    </row>
    <row r="325" spans="3:8" x14ac:dyDescent="0.25">
      <c r="C325" t="s">
        <v>919</v>
      </c>
      <c r="E325" t="s">
        <v>920</v>
      </c>
      <c r="H325" t="s">
        <v>921</v>
      </c>
    </row>
    <row r="326" spans="3:8" x14ac:dyDescent="0.25">
      <c r="C326" t="s">
        <v>922</v>
      </c>
      <c r="E326" t="s">
        <v>923</v>
      </c>
      <c r="H326" t="s">
        <v>924</v>
      </c>
    </row>
    <row r="327" spans="3:8" x14ac:dyDescent="0.25">
      <c r="C327" t="s">
        <v>925</v>
      </c>
      <c r="E327" t="s">
        <v>926</v>
      </c>
      <c r="H327" t="s">
        <v>927</v>
      </c>
    </row>
    <row r="328" spans="3:8" x14ac:dyDescent="0.25">
      <c r="C328" t="s">
        <v>928</v>
      </c>
      <c r="E328" t="s">
        <v>929</v>
      </c>
      <c r="H328" t="s">
        <v>930</v>
      </c>
    </row>
  </sheetData>
  <pageMargins left="0.7" right="0.7" top="0.75" bottom="0.75"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pane xSplit="1" ySplit="3" topLeftCell="B4" activePane="bottomRight" state="frozen"/>
      <selection pane="topRight" activeCell="B1" sqref="B1"/>
      <selection pane="bottomLeft" activeCell="A4" sqref="A4"/>
      <selection pane="bottomRight" activeCell="D9" sqref="D9"/>
    </sheetView>
  </sheetViews>
  <sheetFormatPr baseColWidth="10" defaultColWidth="9.140625" defaultRowHeight="15" x14ac:dyDescent="0.25"/>
  <cols>
    <col min="1" max="1" width="19.7109375" customWidth="1"/>
    <col min="2" max="2" width="30.42578125" customWidth="1"/>
    <col min="3" max="3" width="16.42578125" bestFit="1" customWidth="1"/>
    <col min="4" max="4" width="14" bestFit="1" customWidth="1"/>
    <col min="5" max="13" width="10.7109375" customWidth="1"/>
  </cols>
  <sheetData>
    <row r="1" spans="1:15" x14ac:dyDescent="0.25">
      <c r="A1" s="4" t="s">
        <v>553</v>
      </c>
    </row>
    <row r="3" spans="1:15" x14ac:dyDescent="0.25">
      <c r="A3" t="s">
        <v>5</v>
      </c>
      <c r="D3" t="s">
        <v>11</v>
      </c>
      <c r="E3" s="78" t="s">
        <v>1093</v>
      </c>
      <c r="F3" s="78"/>
      <c r="G3" s="78"/>
      <c r="H3" s="78"/>
      <c r="I3" s="78"/>
      <c r="J3" s="78"/>
      <c r="K3" s="78"/>
      <c r="L3" s="78"/>
      <c r="M3" s="78"/>
      <c r="N3" s="1"/>
      <c r="O3" s="1"/>
    </row>
    <row r="4" spans="1:15" x14ac:dyDescent="0.25">
      <c r="B4" t="s">
        <v>1108</v>
      </c>
      <c r="C4" t="s">
        <v>143</v>
      </c>
      <c r="D4" s="62">
        <f>+D15*D16</f>
        <v>25000</v>
      </c>
      <c r="E4" s="62">
        <f>+E15*E16</f>
        <v>2500000</v>
      </c>
      <c r="F4" s="62"/>
      <c r="G4" s="62"/>
      <c r="H4" s="62"/>
      <c r="I4" s="62"/>
      <c r="J4" s="62"/>
      <c r="K4" s="62"/>
      <c r="L4" s="62"/>
      <c r="M4" s="62"/>
    </row>
    <row r="5" spans="1:15" x14ac:dyDescent="0.25">
      <c r="B5" t="s">
        <v>1103</v>
      </c>
      <c r="C5" t="s">
        <v>143</v>
      </c>
      <c r="D5" s="62">
        <v>175000</v>
      </c>
      <c r="E5" s="62">
        <v>10500000</v>
      </c>
      <c r="F5" s="555"/>
      <c r="G5" s="658"/>
      <c r="H5" s="555"/>
      <c r="I5" s="555"/>
      <c r="J5" s="555"/>
      <c r="K5" s="555"/>
      <c r="L5" s="555"/>
      <c r="M5" s="555"/>
    </row>
    <row r="6" spans="1:15" x14ac:dyDescent="0.25">
      <c r="B6" t="s">
        <v>1102</v>
      </c>
      <c r="C6" t="s">
        <v>143</v>
      </c>
      <c r="D6">
        <v>0</v>
      </c>
      <c r="E6">
        <v>0</v>
      </c>
    </row>
    <row r="7" spans="1:15" x14ac:dyDescent="0.25">
      <c r="B7" t="s">
        <v>679</v>
      </c>
      <c r="C7" t="s">
        <v>143</v>
      </c>
      <c r="D7">
        <v>20</v>
      </c>
      <c r="E7">
        <v>20</v>
      </c>
    </row>
    <row r="8" spans="1:15" x14ac:dyDescent="0.25">
      <c r="B8" t="s">
        <v>680</v>
      </c>
      <c r="C8" t="s">
        <v>3</v>
      </c>
      <c r="D8" s="485">
        <f>'15 Levetider og rente'!$C$5</f>
        <v>0.06</v>
      </c>
      <c r="E8" s="485">
        <f>'15 Levetider og rente'!$C$5</f>
        <v>0.06</v>
      </c>
      <c r="F8" s="485"/>
      <c r="G8" s="485"/>
      <c r="H8" s="485"/>
      <c r="I8" s="485"/>
      <c r="J8" s="485"/>
      <c r="K8" s="485"/>
      <c r="L8" s="485"/>
      <c r="M8" s="485"/>
    </row>
    <row r="9" spans="1:15" x14ac:dyDescent="0.25">
      <c r="B9" t="s">
        <v>753</v>
      </c>
      <c r="C9" t="s">
        <v>143</v>
      </c>
      <c r="D9" s="664">
        <f>(D5-PV(D8,D7,D6))/-PV(D8,D7,D4)</f>
        <v>0.61029189883795987</v>
      </c>
      <c r="E9" s="664">
        <f>(E5-PV(E8,E7,E6))/-PV(E8,E7,E4)</f>
        <v>0.36617513930277584</v>
      </c>
      <c r="F9" s="617"/>
      <c r="G9" s="617"/>
      <c r="H9" s="617"/>
      <c r="I9" s="617"/>
      <c r="J9" s="617"/>
      <c r="K9" s="617"/>
      <c r="L9" s="617"/>
      <c r="M9" s="617"/>
    </row>
    <row r="10" spans="1:15" x14ac:dyDescent="0.25">
      <c r="D10" s="617"/>
      <c r="E10" s="617"/>
      <c r="F10" s="617"/>
      <c r="G10" s="617"/>
      <c r="H10" s="617"/>
      <c r="I10" s="617"/>
      <c r="J10" s="617"/>
      <c r="K10" s="617"/>
      <c r="L10" s="617"/>
      <c r="M10" s="617"/>
    </row>
    <row r="12" spans="1:15" x14ac:dyDescent="0.25">
      <c r="C12" t="s">
        <v>1109</v>
      </c>
      <c r="D12">
        <v>250</v>
      </c>
      <c r="E12" s="62">
        <v>15000</v>
      </c>
    </row>
    <row r="13" spans="1:15" x14ac:dyDescent="0.25">
      <c r="C13" t="s">
        <v>1105</v>
      </c>
      <c r="D13">
        <f>+D4/D12</f>
        <v>100</v>
      </c>
      <c r="E13" s="555">
        <f>+E4/E12</f>
        <v>166.66666666666666</v>
      </c>
    </row>
    <row r="14" spans="1:15" x14ac:dyDescent="0.25">
      <c r="C14" t="s">
        <v>1104</v>
      </c>
      <c r="D14">
        <f>+D5/D12</f>
        <v>700</v>
      </c>
      <c r="E14" s="555">
        <f>+E5/E12</f>
        <v>700</v>
      </c>
      <c r="F14" s="665" t="s">
        <v>1110</v>
      </c>
    </row>
    <row r="15" spans="1:15" x14ac:dyDescent="0.25">
      <c r="C15" t="s">
        <v>1106</v>
      </c>
      <c r="D15">
        <v>10</v>
      </c>
      <c r="E15">
        <v>1000</v>
      </c>
    </row>
    <row r="16" spans="1:15" x14ac:dyDescent="0.25">
      <c r="C16" t="s">
        <v>1107</v>
      </c>
      <c r="D16">
        <v>2500</v>
      </c>
      <c r="E16">
        <v>2500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K144"/>
  <sheetViews>
    <sheetView topLeftCell="E1" workbookViewId="0">
      <selection activeCell="U36" sqref="U36:AF48"/>
    </sheetView>
  </sheetViews>
  <sheetFormatPr baseColWidth="10" defaultRowHeight="15" x14ac:dyDescent="0.25"/>
  <cols>
    <col min="21" max="21" width="6.5703125" bestFit="1" customWidth="1"/>
    <col min="22" max="22" width="5.5703125" bestFit="1" customWidth="1"/>
    <col min="23" max="26" width="6.5703125" bestFit="1" customWidth="1"/>
    <col min="27" max="27" width="7.5703125" bestFit="1" customWidth="1"/>
    <col min="28" max="32" width="6.5703125" bestFit="1" customWidth="1"/>
  </cols>
  <sheetData>
    <row r="3" spans="2:141" x14ac:dyDescent="0.25">
      <c r="B3" s="617"/>
      <c r="C3" s="617"/>
      <c r="D3" s="617"/>
      <c r="E3" s="617"/>
      <c r="F3" s="617"/>
      <c r="G3" s="617"/>
      <c r="H3" s="617"/>
      <c r="I3" s="617"/>
      <c r="J3" s="617"/>
      <c r="K3" s="617"/>
      <c r="L3" s="617"/>
      <c r="M3" s="617"/>
      <c r="N3" s="627"/>
      <c r="O3" s="627"/>
      <c r="P3" s="627"/>
      <c r="Q3" s="627"/>
      <c r="R3" s="627"/>
      <c r="S3" s="627"/>
      <c r="T3" s="627"/>
      <c r="U3" s="627"/>
      <c r="V3" s="627"/>
      <c r="W3" s="627"/>
      <c r="X3" s="627"/>
      <c r="Y3" s="627"/>
      <c r="Z3" s="564"/>
      <c r="AA3" s="564"/>
      <c r="AB3" s="564"/>
      <c r="AC3" s="564"/>
      <c r="AD3" s="564"/>
      <c r="AE3" s="564"/>
      <c r="AF3" s="564"/>
      <c r="AG3" s="564"/>
      <c r="AH3" s="564"/>
      <c r="AI3" s="564"/>
      <c r="AJ3" s="564"/>
      <c r="AK3" s="564"/>
      <c r="AL3" s="564"/>
      <c r="AM3" s="564"/>
      <c r="AN3" s="564"/>
      <c r="AO3" s="564"/>
      <c r="AP3" s="564"/>
      <c r="AQ3" s="564"/>
      <c r="AR3" s="564"/>
      <c r="AS3" s="564"/>
      <c r="AT3" s="564"/>
      <c r="AU3" s="564"/>
      <c r="AV3" s="564"/>
      <c r="AW3" s="564"/>
      <c r="AX3" s="564"/>
      <c r="AY3" s="564"/>
      <c r="AZ3" s="564"/>
      <c r="BA3" s="564"/>
      <c r="BB3" s="564"/>
      <c r="BC3" s="564"/>
      <c r="BD3" s="564"/>
      <c r="BE3" s="564"/>
      <c r="BF3" s="564"/>
      <c r="BG3" s="564"/>
      <c r="BH3" s="564"/>
      <c r="BI3" s="564"/>
      <c r="BJ3" s="564"/>
      <c r="BK3" s="564"/>
      <c r="BL3" s="564"/>
      <c r="BM3" s="564"/>
      <c r="BN3" s="564"/>
      <c r="BO3" s="564"/>
      <c r="BP3" s="564"/>
      <c r="BQ3" s="564"/>
      <c r="BR3" s="564"/>
      <c r="BS3" s="564"/>
      <c r="BT3" s="564"/>
      <c r="BU3" s="564"/>
      <c r="BV3" s="564"/>
      <c r="BW3" s="564"/>
      <c r="BX3" s="564"/>
      <c r="BY3" s="564"/>
      <c r="BZ3" s="564"/>
      <c r="CA3" s="564"/>
      <c r="CB3" s="564"/>
      <c r="CC3" s="564"/>
      <c r="CD3" s="627"/>
      <c r="CE3" s="627"/>
      <c r="CF3" s="627"/>
      <c r="CG3" s="627"/>
      <c r="CH3" s="627"/>
      <c r="CI3" s="564"/>
      <c r="CJ3" s="564"/>
      <c r="CK3" s="564"/>
      <c r="CL3" s="564"/>
      <c r="CM3" s="564"/>
      <c r="CN3" s="564"/>
      <c r="CO3" s="564"/>
      <c r="CP3" s="564"/>
      <c r="CQ3" s="564"/>
      <c r="CR3" s="564"/>
      <c r="CS3" s="564"/>
      <c r="CT3" s="564"/>
      <c r="CU3" s="564"/>
      <c r="CV3" s="564"/>
      <c r="CW3" s="564"/>
      <c r="CX3" s="564"/>
      <c r="CY3" s="564"/>
      <c r="CZ3" s="564"/>
      <c r="DA3" s="564"/>
      <c r="DB3" s="564"/>
      <c r="DC3" s="564"/>
      <c r="DD3" s="564"/>
      <c r="DE3" s="564"/>
      <c r="DF3" s="564"/>
      <c r="DG3" s="564"/>
      <c r="DH3" s="564"/>
      <c r="DI3" s="564"/>
      <c r="DJ3" s="627"/>
      <c r="DK3" s="627"/>
      <c r="DL3" s="627"/>
      <c r="DM3" s="627"/>
      <c r="DN3" s="627"/>
      <c r="DO3" s="627"/>
      <c r="DP3" s="564"/>
      <c r="DQ3" s="654"/>
      <c r="DR3" s="564"/>
      <c r="DS3" s="564"/>
      <c r="DT3" s="564"/>
      <c r="DU3" s="564"/>
      <c r="DV3" s="564"/>
      <c r="DW3" s="564"/>
      <c r="DX3" s="564"/>
      <c r="DY3" s="564"/>
      <c r="DZ3" s="564"/>
      <c r="EA3" s="564"/>
      <c r="EB3" s="564"/>
      <c r="EC3" s="564"/>
      <c r="ED3" s="564"/>
      <c r="EE3" s="564"/>
      <c r="EF3" s="564"/>
      <c r="EG3" s="564"/>
      <c r="EH3" s="564"/>
      <c r="EI3" s="564"/>
      <c r="EJ3" s="564"/>
      <c r="EK3" s="564"/>
    </row>
    <row r="4" spans="2:141" x14ac:dyDescent="0.25">
      <c r="B4" s="617"/>
    </row>
    <row r="5" spans="2:141" ht="87" x14ac:dyDescent="0.25">
      <c r="B5" s="564">
        <v>0</v>
      </c>
      <c r="C5" s="78"/>
      <c r="D5" s="656"/>
      <c r="E5" s="656" t="s">
        <v>1099</v>
      </c>
      <c r="F5" s="1" t="s">
        <v>609</v>
      </c>
      <c r="G5" s="1" t="s">
        <v>610</v>
      </c>
      <c r="H5" s="1" t="s">
        <v>611</v>
      </c>
      <c r="I5" s="1" t="s">
        <v>613</v>
      </c>
      <c r="J5" s="1" t="s">
        <v>1050</v>
      </c>
      <c r="K5" s="1" t="s">
        <v>284</v>
      </c>
      <c r="L5" s="1" t="s">
        <v>587</v>
      </c>
      <c r="M5" s="1" t="s">
        <v>889</v>
      </c>
      <c r="N5" s="1" t="s">
        <v>890</v>
      </c>
      <c r="O5" s="1" t="s">
        <v>517</v>
      </c>
      <c r="P5" s="1" t="s">
        <v>516</v>
      </c>
      <c r="Q5" s="1" t="s">
        <v>586</v>
      </c>
      <c r="R5" s="1" t="s">
        <v>530</v>
      </c>
      <c r="S5" s="656"/>
      <c r="T5" s="656" t="s">
        <v>1099</v>
      </c>
      <c r="U5" s="661" t="s">
        <v>11</v>
      </c>
      <c r="V5" s="661" t="s">
        <v>1</v>
      </c>
      <c r="W5" s="661" t="s">
        <v>97</v>
      </c>
      <c r="X5" s="661" t="s">
        <v>1093</v>
      </c>
      <c r="Y5" s="661" t="s">
        <v>1094</v>
      </c>
      <c r="Z5" s="662" t="s">
        <v>1095</v>
      </c>
      <c r="AA5" s="662" t="s">
        <v>101</v>
      </c>
      <c r="AB5" s="662" t="s">
        <v>102</v>
      </c>
      <c r="AC5" s="662" t="s">
        <v>862</v>
      </c>
      <c r="AD5" s="662" t="s">
        <v>1096</v>
      </c>
      <c r="AE5" s="662" t="s">
        <v>1097</v>
      </c>
      <c r="AF5" s="662" t="s">
        <v>1098</v>
      </c>
    </row>
    <row r="6" spans="2:141" x14ac:dyDescent="0.25">
      <c r="B6" s="564">
        <v>8.6960974157277771E-2</v>
      </c>
      <c r="C6" s="78"/>
      <c r="E6" t="s">
        <v>11</v>
      </c>
      <c r="F6" s="659">
        <f>+'16 LCOE'!D273</f>
        <v>0.78559489360083345</v>
      </c>
      <c r="G6" s="659">
        <f>+'16 LCOE'!E273</f>
        <v>0.76401424433608867</v>
      </c>
      <c r="H6" s="659">
        <f>+'16 LCOE'!F273</f>
        <v>1.5374607632936095</v>
      </c>
      <c r="I6" s="659">
        <f>+'16 LCOE'!G273</f>
        <v>1.8963038124486491</v>
      </c>
      <c r="J6" s="659">
        <f>+'16 LCOE'!H273</f>
        <v>2.5666325401241261</v>
      </c>
      <c r="K6" s="659">
        <f>+'16 LCOE'!I273</f>
        <v>0.18471450231989933</v>
      </c>
      <c r="L6" s="659">
        <f>+'16 LCOE'!J273</f>
        <v>0</v>
      </c>
      <c r="M6" s="659">
        <f>+'16 LCOE'!K273</f>
        <v>0</v>
      </c>
      <c r="N6" s="659">
        <f>+'16 LCOE'!L273</f>
        <v>0</v>
      </c>
      <c r="O6" s="659">
        <f>+'16 LCOE'!M273</f>
        <v>0</v>
      </c>
      <c r="P6" s="659">
        <f>+'16 LCOE'!N273</f>
        <v>0</v>
      </c>
      <c r="Q6" s="659">
        <f>+'16 LCOE'!O273</f>
        <v>0</v>
      </c>
      <c r="R6" s="659">
        <f>+'16 LCOE'!P273</f>
        <v>0</v>
      </c>
      <c r="T6" t="s">
        <v>609</v>
      </c>
      <c r="U6" s="660">
        <v>0.56120143677466883</v>
      </c>
      <c r="V6" s="660">
        <v>0.42081573917052634</v>
      </c>
      <c r="W6" s="660">
        <v>0.37763524724457542</v>
      </c>
      <c r="X6" s="660">
        <v>0.45768674755295508</v>
      </c>
      <c r="Y6" s="660">
        <v>0.47267098704696814</v>
      </c>
      <c r="Z6" s="660">
        <v>0.44892719257586511</v>
      </c>
      <c r="AA6" s="660">
        <v>0.42777712727213918</v>
      </c>
      <c r="AB6" s="660">
        <v>0.29001379633462337</v>
      </c>
      <c r="AC6" s="660">
        <v>0.34627113695495398</v>
      </c>
      <c r="AD6" s="660">
        <v>0.51631826326571917</v>
      </c>
      <c r="AE6" s="660">
        <v>0.43370932164109011</v>
      </c>
      <c r="AF6" s="660">
        <v>0.43213564971981605</v>
      </c>
    </row>
    <row r="7" spans="2:141" x14ac:dyDescent="0.25">
      <c r="B7" s="564">
        <v>0.11240336061814798</v>
      </c>
      <c r="C7" s="78"/>
      <c r="E7" t="s">
        <v>1</v>
      </c>
      <c r="F7" s="659">
        <f>+'16 LCOE'!D277</f>
        <v>0.5917183092683822</v>
      </c>
      <c r="G7" s="659">
        <f>+'16 LCOE'!E277</f>
        <v>0.93015790515152785</v>
      </c>
      <c r="H7" s="659">
        <f>+'16 LCOE'!F277</f>
        <v>2.0731556178242871</v>
      </c>
      <c r="I7" s="659">
        <f>+'16 LCOE'!G277</f>
        <v>2.4839356471270415</v>
      </c>
      <c r="J7" s="659">
        <f>+'16 LCOE'!H277</f>
        <v>1.2534272166984721</v>
      </c>
      <c r="K7" s="659">
        <f>+'16 LCOE'!I277</f>
        <v>0.29874929369293424</v>
      </c>
      <c r="L7" s="659">
        <f>+'16 LCOE'!J277</f>
        <v>0.34880752664699394</v>
      </c>
      <c r="M7" s="659">
        <f>+'16 LCOE'!K277</f>
        <v>0</v>
      </c>
      <c r="N7" s="659">
        <f>+'16 LCOE'!L277</f>
        <v>0</v>
      </c>
      <c r="O7" s="659">
        <f>+'16 LCOE'!M277</f>
        <v>0</v>
      </c>
      <c r="P7" s="659">
        <f>+'16 LCOE'!N277</f>
        <v>0</v>
      </c>
      <c r="Q7" s="659">
        <f>+'16 LCOE'!O277</f>
        <v>0</v>
      </c>
      <c r="R7" s="659">
        <f>+'16 LCOE'!P277</f>
        <v>0</v>
      </c>
      <c r="T7" t="s">
        <v>610</v>
      </c>
      <c r="U7" s="660">
        <v>0.54578497789419822</v>
      </c>
      <c r="V7" s="660">
        <v>0.66447218159183774</v>
      </c>
      <c r="W7" s="660">
        <v>0.8133139502684108</v>
      </c>
      <c r="X7" s="660">
        <v>0.17112262875811732</v>
      </c>
      <c r="Y7" s="660">
        <v>0.18237124911004957</v>
      </c>
      <c r="Z7" s="660">
        <v>0.16781910310641621</v>
      </c>
      <c r="AA7" s="660">
        <v>0.15892192944995198</v>
      </c>
      <c r="AB7" s="660">
        <v>0.85716763017325759</v>
      </c>
      <c r="AC7" s="660">
        <v>0.58427726312385908</v>
      </c>
      <c r="AD7" s="660">
        <v>0.42886314018423588</v>
      </c>
      <c r="AE7" s="660">
        <v>0.61800727903849662</v>
      </c>
      <c r="AF7" s="660">
        <v>0.63285195451476872</v>
      </c>
    </row>
    <row r="8" spans="2:141" x14ac:dyDescent="0.25">
      <c r="B8" s="564">
        <v>0.12354087021011309</v>
      </c>
      <c r="E8" s="1" t="s">
        <v>97</v>
      </c>
      <c r="F8" s="659">
        <f>+'16 LCOE'!D281</f>
        <v>0.52863072408373679</v>
      </c>
      <c r="G8" s="659">
        <f>+'16 LCOE'!E281</f>
        <v>1.1385132759054717</v>
      </c>
      <c r="H8" s="659">
        <f>+'16 LCOE'!F281</f>
        <v>1.4745237729833447</v>
      </c>
      <c r="I8" s="659">
        <f>+'16 LCOE'!G281</f>
        <v>2.1711706900949386</v>
      </c>
      <c r="J8" s="659">
        <f>+'16 LCOE'!H281</f>
        <v>0.12064849817720615</v>
      </c>
      <c r="K8" s="659">
        <f>+'16 LCOE'!I281</f>
        <v>0.2883144257911176</v>
      </c>
      <c r="L8" s="659">
        <f>+'16 LCOE'!J281</f>
        <v>0.61879847668784516</v>
      </c>
      <c r="M8" s="659">
        <f>+'16 LCOE'!K281</f>
        <v>0.33391951477583187</v>
      </c>
      <c r="N8" s="659">
        <f>+'16 LCOE'!L281</f>
        <v>10.886439745990437</v>
      </c>
      <c r="O8" s="659">
        <f>+'16 LCOE'!M281</f>
        <v>4.9586777965097584</v>
      </c>
      <c r="P8" s="659">
        <f>+'16 LCOE'!N281</f>
        <v>7.3236788143791226E-2</v>
      </c>
      <c r="Q8" s="659">
        <f>+'16 LCOE'!O281</f>
        <v>0.32370012477218896</v>
      </c>
      <c r="R8" s="659">
        <f>+'16 LCOE'!P281</f>
        <v>0</v>
      </c>
      <c r="T8" t="s">
        <v>611</v>
      </c>
      <c r="U8" s="660">
        <v>1.0983080419352376</v>
      </c>
      <c r="V8" s="660">
        <v>1.48098965619248</v>
      </c>
      <c r="W8" s="660">
        <v>1.0533480636104031</v>
      </c>
      <c r="X8" s="660">
        <v>1.0959135154533028</v>
      </c>
      <c r="Y8" s="660">
        <v>1.1875122570434293</v>
      </c>
      <c r="Z8" s="660">
        <v>1.0780937834947135</v>
      </c>
      <c r="AA8" s="660">
        <v>1.0239809681069476</v>
      </c>
      <c r="AB8" s="660">
        <v>0.95555712932296455</v>
      </c>
      <c r="AC8" s="660">
        <v>1.1775081692677893</v>
      </c>
      <c r="AD8" s="660">
        <v>1.5757513343766425</v>
      </c>
      <c r="AE8" s="660">
        <v>1.0359807450769491</v>
      </c>
      <c r="AF8" s="660">
        <v>1.0608442829587967</v>
      </c>
    </row>
    <row r="9" spans="2:141" x14ac:dyDescent="0.25">
      <c r="B9" s="564">
        <v>0.14710745404398298</v>
      </c>
      <c r="C9" s="78"/>
      <c r="E9" s="78" t="s">
        <v>1093</v>
      </c>
      <c r="F9" s="659">
        <f>+'16 LCOE'!D285</f>
        <v>0.6429150171890301</v>
      </c>
      <c r="G9" s="659">
        <f>+'16 LCOE'!E285</f>
        <v>0.23954511610757881</v>
      </c>
      <c r="H9" s="659">
        <f>+'16 LCOE'!F285</f>
        <v>1.5341087979322747</v>
      </c>
      <c r="I9" s="659">
        <f>+'16 LCOE'!G285</f>
        <v>2.8245896787330347</v>
      </c>
      <c r="J9" s="659">
        <f>+'16 LCOE'!H285</f>
        <v>0.13929222702519356</v>
      </c>
      <c r="K9" s="659">
        <f>+'16 LCOE'!I285</f>
        <v>0.23298135417464103</v>
      </c>
      <c r="L9" s="659">
        <f>+'16 LCOE'!J285</f>
        <v>0.74345933485554205</v>
      </c>
      <c r="M9" s="659">
        <f>+'16 LCOE'!K285</f>
        <v>0.61571500773299637</v>
      </c>
      <c r="N9" s="659">
        <f>+'16 LCOE'!L285</f>
        <v>1.2171581196011692</v>
      </c>
      <c r="O9" s="659">
        <f>+'16 LCOE'!M285</f>
        <v>0.35364142149260158</v>
      </c>
      <c r="P9" s="659">
        <f>+'16 LCOE'!N285</f>
        <v>1.2055802282383725E-2</v>
      </c>
      <c r="Q9" s="659">
        <f>+'16 LCOE'!O285</f>
        <v>0.88640955091375551</v>
      </c>
      <c r="R9" s="659">
        <f>+'16 LCOE'!P285</f>
        <v>0.25024224305199477</v>
      </c>
      <c r="T9" t="s">
        <v>613</v>
      </c>
      <c r="U9" s="660">
        <v>1.5094987001487146</v>
      </c>
      <c r="V9" s="660">
        <v>1.9772663040473948</v>
      </c>
      <c r="W9" s="660">
        <v>1.7282986581497723</v>
      </c>
      <c r="X9" s="660">
        <v>2.2484342543167517</v>
      </c>
      <c r="Y9" s="660">
        <v>1.9575920124648349</v>
      </c>
      <c r="Z9" s="660">
        <v>2.1230719127990922</v>
      </c>
      <c r="AA9" s="660">
        <v>2.1423375381420988</v>
      </c>
      <c r="AB9" s="660">
        <v>1.9673799725271577</v>
      </c>
      <c r="AC9" s="660">
        <v>2.0178256128483669</v>
      </c>
      <c r="AD9" s="660">
        <v>1.5951729506976955</v>
      </c>
      <c r="AE9" s="660">
        <v>2.1041497032376006</v>
      </c>
      <c r="AF9" s="660">
        <v>2.0212807936922839</v>
      </c>
    </row>
    <row r="10" spans="2:141" x14ac:dyDescent="0.25">
      <c r="B10" s="564">
        <v>0.15106235119751446</v>
      </c>
      <c r="C10" s="78"/>
      <c r="E10" s="78" t="s">
        <v>1094</v>
      </c>
      <c r="F10" s="659">
        <f>+'16 LCOE'!D289</f>
        <v>0.66396345838459547</v>
      </c>
      <c r="G10" s="659">
        <f>+'16 LCOE'!E289</f>
        <v>0.25529143842514002</v>
      </c>
      <c r="H10" s="659">
        <f>+'16 LCOE'!F289</f>
        <v>1.6623328168639273</v>
      </c>
      <c r="I10" s="659">
        <f>+'16 LCOE'!G289</f>
        <v>2.4592198695436891</v>
      </c>
      <c r="J10" s="659">
        <f>+'16 LCOE'!H289</f>
        <v>9.6936370599733021E-2</v>
      </c>
      <c r="K10" s="659">
        <f>+'16 LCOE'!I289</f>
        <v>0.2745851674201128</v>
      </c>
      <c r="L10" s="659">
        <f>+'16 LCOE'!J289</f>
        <v>0.4207489642314331</v>
      </c>
      <c r="M10" s="659">
        <f>+'16 LCOE'!K289</f>
        <v>0.20358318804074918</v>
      </c>
      <c r="N10" s="659">
        <f>+'16 LCOE'!L289</f>
        <v>10.126318784982789</v>
      </c>
      <c r="O10" s="659">
        <f>+'16 LCOE'!M289</f>
        <v>2.9735491615787888</v>
      </c>
      <c r="P10" s="659">
        <f>+'16 LCOE'!N289</f>
        <v>1.6494408783486014E-2</v>
      </c>
      <c r="Q10" s="659">
        <f>+'16 LCOE'!O289</f>
        <v>0.58110646399103383</v>
      </c>
      <c r="R10" s="659">
        <f>+'16 LCOE'!P289</f>
        <v>0</v>
      </c>
      <c r="T10" t="s">
        <v>1050</v>
      </c>
      <c r="U10" s="660">
        <v>2.0739358864474311</v>
      </c>
      <c r="V10" s="660">
        <v>1.0213311879614726</v>
      </c>
      <c r="W10" s="660">
        <v>9.6222288891283869E-2</v>
      </c>
      <c r="X10" s="660">
        <v>0.1110914525387824</v>
      </c>
      <c r="Y10" s="660">
        <v>7.7310862520809043E-2</v>
      </c>
      <c r="Z10" s="660">
        <v>8.5326722754890186E-2</v>
      </c>
      <c r="AA10" s="660">
        <v>3.7228861773413405E-2</v>
      </c>
      <c r="AB10" s="660">
        <v>3.7184594399128718E-2</v>
      </c>
      <c r="AC10" s="660">
        <v>6.2795670461179204E-2</v>
      </c>
      <c r="AD10" s="660">
        <v>8.92218085297211E-2</v>
      </c>
      <c r="AE10" s="660">
        <v>4.7274745109096392E-2</v>
      </c>
      <c r="AF10" s="660">
        <v>0.10055383887352808</v>
      </c>
    </row>
    <row r="11" spans="2:141" x14ac:dyDescent="0.25">
      <c r="B11" s="564">
        <v>0.16152725040343038</v>
      </c>
      <c r="C11" s="78"/>
      <c r="E11" s="78" t="s">
        <v>1095</v>
      </c>
      <c r="F11" s="659">
        <f>+'16 LCOE'!D293</f>
        <v>0.63061042355861807</v>
      </c>
      <c r="G11" s="659">
        <f>+'16 LCOE'!E293</f>
        <v>0.23492069301669891</v>
      </c>
      <c r="H11" s="659">
        <f>+'16 LCOE'!F293</f>
        <v>1.5091639394293126</v>
      </c>
      <c r="I11" s="659">
        <f>+'16 LCOE'!G293</f>
        <v>2.6671035635518776</v>
      </c>
      <c r="J11" s="659">
        <f>+'16 LCOE'!H293</f>
        <v>0.10698707205345701</v>
      </c>
      <c r="K11" s="659">
        <f>+'16 LCOE'!I293</f>
        <v>0.1787996439014686</v>
      </c>
      <c r="L11" s="659">
        <f>+'16 LCOE'!J293</f>
        <v>0.29951621182576604</v>
      </c>
      <c r="M11" s="659">
        <f>+'16 LCOE'!K293</f>
        <v>0.29699194490650477</v>
      </c>
      <c r="N11" s="659">
        <f>+'16 LCOE'!L293</f>
        <v>1.5845913126173978</v>
      </c>
      <c r="O11" s="659">
        <f>+'16 LCOE'!M293</f>
        <v>0.5538384771476752</v>
      </c>
      <c r="P11" s="659">
        <f>+'16 LCOE'!N293</f>
        <v>1.0708510778925573E-2</v>
      </c>
      <c r="Q11" s="659">
        <f>+'16 LCOE'!O293</f>
        <v>0.60632978296226381</v>
      </c>
      <c r="R11" s="659">
        <f>+'16 LCOE'!P293</f>
        <v>0.40256360838799171</v>
      </c>
      <c r="T11" t="s">
        <v>284</v>
      </c>
      <c r="U11" s="660">
        <v>0.15593000880886318</v>
      </c>
      <c r="V11" s="660">
        <v>0.25219449156463108</v>
      </c>
      <c r="W11" s="660">
        <v>0.2299429697769651</v>
      </c>
      <c r="X11" s="660">
        <v>0.18581250082987122</v>
      </c>
      <c r="Y11" s="660">
        <v>0.21899330454949117</v>
      </c>
      <c r="Z11" s="660">
        <v>0.14260029133455226</v>
      </c>
      <c r="AA11" s="660">
        <v>6.4545395025113014E-2</v>
      </c>
      <c r="AB11" s="660">
        <v>9.482184320699602E-2</v>
      </c>
      <c r="AC11" s="660">
        <v>0.10511678618375547</v>
      </c>
      <c r="AD11" s="660">
        <v>0.25199229564599074</v>
      </c>
      <c r="AE11" s="660">
        <v>7.6968358084339855E-2</v>
      </c>
      <c r="AF11" s="660">
        <v>0.16424497841211727</v>
      </c>
    </row>
    <row r="12" spans="2:141" x14ac:dyDescent="0.25">
      <c r="B12" s="564">
        <v>0.16858892233092845</v>
      </c>
      <c r="C12" s="78"/>
      <c r="E12" s="78" t="s">
        <v>101</v>
      </c>
      <c r="F12" s="659">
        <f>+'16 LCOE'!D297</f>
        <v>0.60090081393807571</v>
      </c>
      <c r="G12" s="659">
        <f>+'16 LCOE'!E297</f>
        <v>0.2224660310468925</v>
      </c>
      <c r="H12" s="659">
        <f>+'16 LCOE'!F297</f>
        <v>1.4334143980679948</v>
      </c>
      <c r="I12" s="659">
        <f>+'16 LCOE'!G297</f>
        <v>2.6913059552356544</v>
      </c>
      <c r="J12" s="659">
        <f>+'16 LCOE'!H297</f>
        <v>4.6679478461419045E-2</v>
      </c>
      <c r="K12" s="659">
        <f>+'16 LCOE'!I297</f>
        <v>8.0930365134348814E-2</v>
      </c>
      <c r="L12" s="659">
        <f>+'16 LCOE'!J297</f>
        <v>0.22885926924722313</v>
      </c>
      <c r="M12" s="659">
        <f>+'16 LCOE'!K297</f>
        <v>0.33659087089403877</v>
      </c>
      <c r="N12" s="659">
        <f>+'16 LCOE'!L297</f>
        <v>1.3103681048848559</v>
      </c>
      <c r="O12" s="659">
        <f>+'16 LCOE'!M297</f>
        <v>0.56519434228088161</v>
      </c>
      <c r="P12" s="659">
        <f>+'16 LCOE'!N297</f>
        <v>6.2575930372713714E-3</v>
      </c>
      <c r="Q12" s="659">
        <f>+'16 LCOE'!O297</f>
        <v>0.44772132642307205</v>
      </c>
      <c r="R12" s="659">
        <f>+'16 LCOE'!P297</f>
        <v>1.3227089989891145</v>
      </c>
      <c r="T12" t="s">
        <v>587</v>
      </c>
      <c r="U12" s="660">
        <v>0</v>
      </c>
      <c r="V12" s="660">
        <v>0.2991046684379825</v>
      </c>
      <c r="W12" s="660">
        <v>0.49351800220413689</v>
      </c>
      <c r="X12" s="660">
        <v>0.59294031818215476</v>
      </c>
      <c r="Y12" s="660">
        <v>0.33556512512506542</v>
      </c>
      <c r="Z12" s="660">
        <v>0.23887686873309752</v>
      </c>
      <c r="AA12" s="660">
        <v>0.18252496345714866</v>
      </c>
      <c r="AB12" s="660">
        <v>0.20790758390727462</v>
      </c>
      <c r="AC12" s="660">
        <v>0.21187459765051853</v>
      </c>
      <c r="AD12" s="660">
        <v>0.35065752788188664</v>
      </c>
      <c r="AE12" s="660">
        <v>0.1029317743361156</v>
      </c>
      <c r="AF12" s="660">
        <v>0.2509843264634054</v>
      </c>
    </row>
    <row r="13" spans="2:141" x14ac:dyDescent="0.25">
      <c r="B13" s="564">
        <v>0.17438162190155496</v>
      </c>
      <c r="C13" s="78"/>
      <c r="E13" s="78" t="s">
        <v>102</v>
      </c>
      <c r="F13" s="659">
        <f>+'16 LCOE'!D301</f>
        <v>0.40597429469117857</v>
      </c>
      <c r="G13" s="659">
        <f>+'16 LCOE'!E301</f>
        <v>1.1999016201635528</v>
      </c>
      <c r="H13" s="659">
        <f>+'16 LCOE'!F301</f>
        <v>1.3376316455180464</v>
      </c>
      <c r="I13" s="659">
        <f>+'16 LCOE'!G301</f>
        <v>2.4715159688914055</v>
      </c>
      <c r="J13" s="659">
        <f>+'16 LCOE'!H301</f>
        <v>4.6623973730787159E-2</v>
      </c>
      <c r="K13" s="659">
        <f>+'16 LCOE'!I301</f>
        <v>0.11889254671798678</v>
      </c>
      <c r="L13" s="659">
        <f>+'16 LCOE'!J301</f>
        <v>0.26068531571104958</v>
      </c>
      <c r="M13" s="659">
        <f>+'16 LCOE'!K301</f>
        <v>0.3824896260159551</v>
      </c>
      <c r="N13" s="659">
        <f>+'16 LCOE'!L301</f>
        <v>7.92436187927873</v>
      </c>
      <c r="O13" s="659">
        <f>+'16 LCOE'!M301</f>
        <v>4.1642123134067068</v>
      </c>
      <c r="P13" s="659">
        <f>+'16 LCOE'!N301</f>
        <v>1.1277803595937727E-2</v>
      </c>
      <c r="Q13" s="659">
        <f>+'16 LCOE'!O301</f>
        <v>0.54207692536477015</v>
      </c>
      <c r="R13" s="659">
        <f>+'16 LCOE'!P301</f>
        <v>0</v>
      </c>
      <c r="T13" t="s">
        <v>889</v>
      </c>
      <c r="U13" s="660">
        <v>0</v>
      </c>
      <c r="V13" s="660">
        <v>0</v>
      </c>
      <c r="W13" s="660">
        <v>0.28188405472501693</v>
      </c>
      <c r="X13" s="660">
        <v>0.25988334801477136</v>
      </c>
      <c r="Y13" s="660">
        <v>0.17185834304202652</v>
      </c>
      <c r="Z13" s="660">
        <v>0.25071099455542706</v>
      </c>
      <c r="AA13" s="660">
        <v>0.28413912716281731</v>
      </c>
      <c r="AB13" s="660">
        <v>0.32288537177593041</v>
      </c>
      <c r="AC13" s="660">
        <v>0.38054347387877546</v>
      </c>
      <c r="AD13" s="660">
        <v>0.11216018177479631</v>
      </c>
      <c r="AE13" s="660">
        <v>0.2663804317151412</v>
      </c>
      <c r="AF13" s="660">
        <v>0.20104183525671049</v>
      </c>
    </row>
    <row r="14" spans="2:141" x14ac:dyDescent="0.25">
      <c r="B14" s="564">
        <v>0.17523178647555013</v>
      </c>
      <c r="C14" s="78"/>
      <c r="E14" s="78" t="s">
        <v>862</v>
      </c>
      <c r="F14" s="659">
        <f>+'16 LCOE'!D305</f>
        <v>0.4868994969420492</v>
      </c>
      <c r="G14" s="659">
        <f>+'16 LCOE'!E305</f>
        <v>0.81789746832289745</v>
      </c>
      <c r="H14" s="659">
        <f>+'16 LCOE'!F305</f>
        <v>1.6483286469586516</v>
      </c>
      <c r="I14" s="659">
        <f>+'16 LCOE'!G305</f>
        <v>2.5348881732219546</v>
      </c>
      <c r="J14" s="659">
        <f>+'16 LCOE'!H305</f>
        <v>7.8736469693959824E-2</v>
      </c>
      <c r="K14" s="659">
        <f>+'16 LCOE'!I305</f>
        <v>0.13180088036165377</v>
      </c>
      <c r="L14" s="659">
        <f>+'16 LCOE'!J305</f>
        <v>0.26565936336555379</v>
      </c>
      <c r="M14" s="659">
        <f>+'16 LCOE'!K305</f>
        <v>0.45079134494737616</v>
      </c>
      <c r="N14" s="659">
        <f>+'16 LCOE'!L305</f>
        <v>0.66067305016684963</v>
      </c>
      <c r="O14" s="659">
        <f>+'16 LCOE'!M305</f>
        <v>0.15123554993844357</v>
      </c>
      <c r="P14" s="659">
        <f>+'16 LCOE'!N305</f>
        <v>1.1903451895887219E-2</v>
      </c>
      <c r="Q14" s="659">
        <f>+'16 LCOE'!O305</f>
        <v>0.44618125306436862</v>
      </c>
      <c r="R14" s="659">
        <f>+'16 LCOE'!P305</f>
        <v>1.0683418837988998</v>
      </c>
      <c r="T14" t="s">
        <v>890</v>
      </c>
      <c r="U14" s="660">
        <v>0</v>
      </c>
      <c r="V14" s="660">
        <v>0</v>
      </c>
      <c r="W14" s="660">
        <v>8.9066823138678775</v>
      </c>
      <c r="X14" s="660">
        <v>0.99395878020867368</v>
      </c>
      <c r="Y14" s="660">
        <v>8.2746684870972427</v>
      </c>
      <c r="Z14" s="660">
        <v>1.2972638048173568</v>
      </c>
      <c r="AA14" s="660">
        <v>1.0755982082509585</v>
      </c>
      <c r="AB14" s="660">
        <v>6.4972832783489656</v>
      </c>
      <c r="AC14" s="660">
        <v>0.53928200769620582</v>
      </c>
      <c r="AD14" s="660">
        <v>9.0041883219681971</v>
      </c>
      <c r="AE14" s="660">
        <v>0.30293363097889642</v>
      </c>
      <c r="AF14" s="660">
        <v>2.067251907955765</v>
      </c>
    </row>
    <row r="15" spans="2:141" x14ac:dyDescent="0.25">
      <c r="B15" s="564">
        <v>0.17581106510852715</v>
      </c>
      <c r="C15" s="1"/>
      <c r="E15" s="78" t="s">
        <v>1096</v>
      </c>
      <c r="F15" s="659">
        <f>+'16 LCOE'!D309</f>
        <v>0.72524488781196317</v>
      </c>
      <c r="G15" s="659">
        <f>+'16 LCOE'!E309</f>
        <v>0.60034182185750484</v>
      </c>
      <c r="H15" s="659">
        <f>+'16 LCOE'!F309</f>
        <v>2.2058072569903748</v>
      </c>
      <c r="I15" s="659">
        <f>+'16 LCOE'!G309</f>
        <v>2.0039318666687072</v>
      </c>
      <c r="J15" s="659">
        <f>+'16 LCOE'!H309</f>
        <v>0.11187093268927811</v>
      </c>
      <c r="K15" s="659">
        <f>+'16 LCOE'!I309</f>
        <v>0.31596101456561032</v>
      </c>
      <c r="L15" s="659">
        <f>+'16 LCOE'!J309</f>
        <v>0.43967260185715307</v>
      </c>
      <c r="M15" s="659">
        <f>+'16 LCOE'!K309</f>
        <v>0.13286481745817319</v>
      </c>
      <c r="N15" s="659">
        <f>+'16 LCOE'!L309</f>
        <v>11.007245080048598</v>
      </c>
      <c r="O15" s="659">
        <f>+'16 LCOE'!M309</f>
        <v>5.2366789376180636</v>
      </c>
      <c r="P15" s="659">
        <f>+'16 LCOE'!N309</f>
        <v>9.0454923349605233E-3</v>
      </c>
      <c r="Q15" s="659">
        <f>+'16 LCOE'!O309</f>
        <v>0.31411914856328699</v>
      </c>
      <c r="R15" s="659">
        <f>+'16 LCOE'!P309</f>
        <v>0</v>
      </c>
      <c r="T15" t="s">
        <v>517</v>
      </c>
      <c r="U15" s="660">
        <v>0</v>
      </c>
      <c r="V15" s="660">
        <v>0</v>
      </c>
      <c r="W15" s="660">
        <v>4.1788356303580922</v>
      </c>
      <c r="X15" s="660">
        <v>0.29521087976800137</v>
      </c>
      <c r="Y15" s="660">
        <v>2.4905814898312681</v>
      </c>
      <c r="Z15" s="660">
        <v>0.46818830404554024</v>
      </c>
      <c r="AA15" s="660">
        <v>0.4834351887483252</v>
      </c>
      <c r="AB15" s="660">
        <v>3.544605900478945</v>
      </c>
      <c r="AC15" s="660">
        <v>0.12594723169538247</v>
      </c>
      <c r="AD15" s="660">
        <v>4.4099303770968472</v>
      </c>
      <c r="AE15" s="660">
        <v>7.7661636694371108E-2</v>
      </c>
      <c r="AF15" s="660">
        <v>1.3967677255747661</v>
      </c>
    </row>
    <row r="16" spans="2:141" x14ac:dyDescent="0.25">
      <c r="B16" s="564">
        <v>0.18122425720691554</v>
      </c>
      <c r="E16" s="78" t="s">
        <v>1097</v>
      </c>
      <c r="F16" s="659">
        <f>+'16 LCOE'!D313</f>
        <v>0.60923379903120745</v>
      </c>
      <c r="G16" s="659">
        <f>+'16 LCOE'!E313</f>
        <v>0.86511425453767232</v>
      </c>
      <c r="H16" s="659">
        <f>+'16 LCOE'!F313</f>
        <v>1.4502122230453518</v>
      </c>
      <c r="I16" s="659">
        <f>+'16 LCOE'!G313</f>
        <v>2.6433325870496307</v>
      </c>
      <c r="J16" s="659">
        <f>+'16 LCOE'!H313</f>
        <v>5.9275528204976585E-2</v>
      </c>
      <c r="K16" s="659">
        <f>+'16 LCOE'!I313</f>
        <v>9.6506920766901386E-2</v>
      </c>
      <c r="L16" s="659">
        <f>+'16 LCOE'!J313</f>
        <v>0.12906119914065306</v>
      </c>
      <c r="M16" s="659">
        <f>+'16 LCOE'!K313</f>
        <v>0.31555394146316135</v>
      </c>
      <c r="N16" s="659">
        <f>+'16 LCOE'!L313</f>
        <v>0.37280482288653799</v>
      </c>
      <c r="O16" s="659">
        <f>+'16 LCOE'!M313</f>
        <v>9.587878734814366E-2</v>
      </c>
      <c r="P16" s="659">
        <f>+'16 LCOE'!N313</f>
        <v>7.6757498848940668E-3</v>
      </c>
      <c r="Q16" s="659">
        <f>+'16 LCOE'!O313</f>
        <v>0.5404636011821371</v>
      </c>
      <c r="R16" s="659">
        <f>+'16 LCOE'!P313</f>
        <v>0.40256360838799171</v>
      </c>
      <c r="T16" t="s">
        <v>516</v>
      </c>
      <c r="U16" s="660">
        <v>0</v>
      </c>
      <c r="V16" s="660">
        <v>0</v>
      </c>
      <c r="W16" s="660">
        <v>6.2801010763109427E-2</v>
      </c>
      <c r="X16" s="660">
        <v>1.0337926991109936E-2</v>
      </c>
      <c r="Y16" s="660">
        <v>1.4144060243453608E-2</v>
      </c>
      <c r="Z16" s="660">
        <v>9.1826159738709265E-3</v>
      </c>
      <c r="AA16" s="660">
        <v>5.365925754598426E-3</v>
      </c>
      <c r="AB16" s="660">
        <v>9.6707881785059319E-3</v>
      </c>
      <c r="AC16" s="660">
        <v>1.0207285567521757E-2</v>
      </c>
      <c r="AD16" s="660">
        <v>7.756567100814871E-3</v>
      </c>
      <c r="AE16" s="660">
        <v>6.5820042543336798E-3</v>
      </c>
      <c r="AF16" s="660">
        <v>1.2827413804490486E-2</v>
      </c>
    </row>
    <row r="17" spans="2:32" x14ac:dyDescent="0.25">
      <c r="B17" s="564">
        <v>0.18707896319341624</v>
      </c>
      <c r="E17" s="78" t="s">
        <v>1098</v>
      </c>
      <c r="F17" s="659">
        <f>+'16 LCOE'!D317</f>
        <v>0.60702325368392562</v>
      </c>
      <c r="G17" s="659">
        <f>+'16 LCOE'!E317</f>
        <v>0.88589449579711033</v>
      </c>
      <c r="H17" s="659">
        <f>+'16 LCOE'!F317</f>
        <v>1.4850173163984415</v>
      </c>
      <c r="I17" s="659">
        <f>+'16 LCOE'!G317</f>
        <v>2.5392287351624012</v>
      </c>
      <c r="J17" s="659">
        <f>+'16 LCOE'!H317</f>
        <v>0.12607962028164621</v>
      </c>
      <c r="K17" s="659">
        <f>+'16 LCOE'!I317</f>
        <v>0.20593887556508314</v>
      </c>
      <c r="L17" s="659">
        <f>+'16 LCOE'!J317</f>
        <v>0.31469717050734619</v>
      </c>
      <c r="M17" s="659">
        <f>+'16 LCOE'!K317</f>
        <v>0.2381539180854049</v>
      </c>
      <c r="N17" s="659">
        <f>+'16 LCOE'!L317</f>
        <v>2.5182962353043705</v>
      </c>
      <c r="O17" s="659">
        <f>+'16 LCOE'!M317</f>
        <v>1.6325208047800941</v>
      </c>
      <c r="P17" s="659">
        <f>+'16 LCOE'!N317</f>
        <v>1.495897240851508E-2</v>
      </c>
      <c r="Q17" s="659">
        <f>+'16 LCOE'!O317</f>
        <v>0.50431595463234824</v>
      </c>
      <c r="R17" s="659">
        <f>+'16 LCOE'!P317</f>
        <v>0.49601587462091806</v>
      </c>
      <c r="T17" t="s">
        <v>586</v>
      </c>
      <c r="U17" s="660">
        <v>0</v>
      </c>
      <c r="V17" s="660">
        <v>0</v>
      </c>
      <c r="W17" s="660">
        <v>0.26720469510093026</v>
      </c>
      <c r="X17" s="660">
        <v>0.73170436357771818</v>
      </c>
      <c r="Y17" s="660">
        <v>0.47968586864519003</v>
      </c>
      <c r="Z17" s="660">
        <v>0.50050695810224333</v>
      </c>
      <c r="AA17" s="660">
        <v>0.36958045846060622</v>
      </c>
      <c r="AB17" s="660">
        <v>0.44746816104961751</v>
      </c>
      <c r="AC17" s="660">
        <v>0.36830917432830929</v>
      </c>
      <c r="AD17" s="660">
        <v>0.25929588805777376</v>
      </c>
      <c r="AE17" s="660">
        <v>0.44613641057030323</v>
      </c>
      <c r="AF17" s="660">
        <v>0.41629761800959569</v>
      </c>
    </row>
    <row r="18" spans="2:32" x14ac:dyDescent="0.25">
      <c r="B18" s="564">
        <v>0.19534275737737913</v>
      </c>
      <c r="T18" t="s">
        <v>530</v>
      </c>
      <c r="U18" s="660">
        <v>0</v>
      </c>
      <c r="V18" s="660">
        <v>0</v>
      </c>
      <c r="W18" s="660">
        <v>0</v>
      </c>
      <c r="X18" s="660">
        <v>0.20656742811928008</v>
      </c>
      <c r="Y18" s="660">
        <v>0</v>
      </c>
      <c r="Z18" s="660">
        <v>0.33230412349623323</v>
      </c>
      <c r="AA18" s="660">
        <v>1.0918564057733369</v>
      </c>
      <c r="AB18" s="660">
        <v>0</v>
      </c>
      <c r="AC18" s="660">
        <v>0.88188402004769506</v>
      </c>
      <c r="AD18" s="660">
        <v>0</v>
      </c>
      <c r="AE18" s="660">
        <v>0.33230412349623323</v>
      </c>
      <c r="AF18" s="660">
        <v>0.40944615216500146</v>
      </c>
    </row>
    <row r="19" spans="2:32" x14ac:dyDescent="0.25">
      <c r="B19" s="564">
        <v>0.19814672040193529</v>
      </c>
    </row>
    <row r="20" spans="2:32" x14ac:dyDescent="0.25">
      <c r="B20" s="564">
        <v>0.21541047887648596</v>
      </c>
      <c r="E20" t="s">
        <v>1100</v>
      </c>
      <c r="F20" s="1" t="s">
        <v>609</v>
      </c>
      <c r="G20" s="1" t="s">
        <v>610</v>
      </c>
      <c r="H20" s="1" t="s">
        <v>611</v>
      </c>
      <c r="I20" s="1" t="s">
        <v>613</v>
      </c>
      <c r="J20" s="1" t="s">
        <v>1050</v>
      </c>
      <c r="K20" s="1" t="s">
        <v>284</v>
      </c>
      <c r="L20" s="1" t="s">
        <v>587</v>
      </c>
      <c r="M20" s="1" t="s">
        <v>889</v>
      </c>
      <c r="N20" s="1" t="s">
        <v>890</v>
      </c>
      <c r="O20" s="1" t="s">
        <v>517</v>
      </c>
      <c r="P20" s="1" t="s">
        <v>516</v>
      </c>
      <c r="Q20" s="1" t="s">
        <v>586</v>
      </c>
      <c r="R20" s="1" t="s">
        <v>530</v>
      </c>
      <c r="T20" t="s">
        <v>1100</v>
      </c>
      <c r="U20" t="s">
        <v>11</v>
      </c>
      <c r="V20" t="s">
        <v>1</v>
      </c>
      <c r="W20" t="s">
        <v>97</v>
      </c>
      <c r="X20" t="s">
        <v>1093</v>
      </c>
      <c r="Y20" t="s">
        <v>1094</v>
      </c>
      <c r="Z20" t="s">
        <v>1095</v>
      </c>
      <c r="AA20" t="s">
        <v>101</v>
      </c>
      <c r="AB20" t="s">
        <v>102</v>
      </c>
      <c r="AC20" t="s">
        <v>862</v>
      </c>
      <c r="AD20" t="s">
        <v>1096</v>
      </c>
      <c r="AE20" t="s">
        <v>1097</v>
      </c>
      <c r="AF20" t="s">
        <v>1098</v>
      </c>
    </row>
    <row r="21" spans="2:32" x14ac:dyDescent="0.25">
      <c r="B21" s="564">
        <v>0.2402581028507946</v>
      </c>
      <c r="E21" t="s">
        <v>11</v>
      </c>
      <c r="F21" s="657">
        <f>+'16 LCOE'!D275</f>
        <v>3.9848591402888078</v>
      </c>
      <c r="G21" s="657">
        <f>+'16 LCOE'!E275</f>
        <v>1.3522998054384678</v>
      </c>
      <c r="H21" s="657">
        <f>+'16 LCOE'!F275</f>
        <v>10.721976171197403</v>
      </c>
      <c r="I21" s="657">
        <f>+'16 LCOE'!G274</f>
        <v>2.7189394597265188</v>
      </c>
      <c r="J21" s="657">
        <f>+'16 LCOE'!H274</f>
        <v>3.4136978691854249</v>
      </c>
      <c r="K21" s="657">
        <f>+'16 LCOE'!I274</f>
        <v>1.166754069275554</v>
      </c>
      <c r="L21" s="657">
        <f>+'16 LCOE'!J274</f>
        <v>0</v>
      </c>
      <c r="M21" s="657">
        <f>+'16 LCOE'!K274</f>
        <v>0</v>
      </c>
      <c r="N21" s="657">
        <f>+'16 LCOE'!L274</f>
        <v>0</v>
      </c>
      <c r="O21" s="657">
        <f>+'16 LCOE'!M274</f>
        <v>0</v>
      </c>
      <c r="P21" s="657">
        <f>+'16 LCOE'!N274</f>
        <v>0</v>
      </c>
      <c r="Q21" s="657">
        <f>+'16 LCOE'!O274</f>
        <v>0</v>
      </c>
      <c r="R21" s="657">
        <f>+'16 LCOE'!P274</f>
        <v>0</v>
      </c>
      <c r="T21" t="s">
        <v>609</v>
      </c>
      <c r="U21" s="658">
        <v>2.8275342549874987</v>
      </c>
      <c r="V21" s="658">
        <v>1.7980192981694851</v>
      </c>
      <c r="W21" s="658">
        <v>1.7285373932675072</v>
      </c>
      <c r="X21" s="658">
        <v>1.3951732821247012</v>
      </c>
      <c r="Y21" s="658">
        <v>1.3653608065857472</v>
      </c>
      <c r="Z21" s="658">
        <v>1.3336780410393152</v>
      </c>
      <c r="AA21" s="658">
        <v>1.2287439819727675</v>
      </c>
      <c r="AB21" s="658">
        <v>1.0314841183055843</v>
      </c>
      <c r="AC21" s="658">
        <v>1.0179747239634005</v>
      </c>
      <c r="AD21" s="658">
        <v>1.5221674480307712</v>
      </c>
      <c r="AE21" s="658">
        <v>1.2574678672656405</v>
      </c>
      <c r="AF21" s="658">
        <v>1.2512926885671907</v>
      </c>
    </row>
    <row r="22" spans="2:32" x14ac:dyDescent="0.25">
      <c r="B22" s="564">
        <v>0.27425605671526088</v>
      </c>
      <c r="E22" t="s">
        <v>1</v>
      </c>
      <c r="F22" s="657">
        <f>+'16 LCOE'!D279</f>
        <v>2.5249295120553055</v>
      </c>
      <c r="G22" s="657">
        <f>+'16 LCOE'!E279</f>
        <v>2.7904737154545831</v>
      </c>
      <c r="H22" s="657">
        <f>+'16 LCOE'!F279</f>
        <v>10.759914625176108</v>
      </c>
      <c r="I22" s="657">
        <f>+'16 LCOE'!G278</f>
        <v>3.6860789990923259</v>
      </c>
      <c r="J22" s="657">
        <f>+'16 LCOE'!H278</f>
        <v>1.5208478753188963</v>
      </c>
      <c r="K22" s="657">
        <f>+'16 LCOE'!I278</f>
        <v>1.7694613539990325</v>
      </c>
      <c r="L22" s="657">
        <f>+'16 LCOE'!J278</f>
        <v>0.46593862937852398</v>
      </c>
      <c r="M22" s="657">
        <f>+'16 LCOE'!K278</f>
        <v>0</v>
      </c>
      <c r="N22" s="657">
        <f>+'16 LCOE'!L278</f>
        <v>0</v>
      </c>
      <c r="O22" s="657">
        <f>+'16 LCOE'!M278</f>
        <v>0</v>
      </c>
      <c r="P22" s="657">
        <f>+'16 LCOE'!N278</f>
        <v>0</v>
      </c>
      <c r="Q22" s="657">
        <f>+'16 LCOE'!O278</f>
        <v>0</v>
      </c>
      <c r="R22" s="657">
        <f>+'16 LCOE'!P278</f>
        <v>0</v>
      </c>
      <c r="T22" t="s">
        <v>610</v>
      </c>
      <c r="U22" s="658">
        <v>0.96603554827557525</v>
      </c>
      <c r="V22" s="658">
        <v>1.9645264499236941</v>
      </c>
      <c r="W22" s="658">
        <v>2.4045803747066059</v>
      </c>
      <c r="X22" s="658">
        <v>1.857091409693491</v>
      </c>
      <c r="Y22" s="658">
        <v>1.8966039928784642</v>
      </c>
      <c r="Z22" s="658">
        <v>1.80081591243005</v>
      </c>
      <c r="AA22" s="658">
        <v>1.6507479197275412</v>
      </c>
      <c r="AB22" s="658">
        <v>2.6136743203332666</v>
      </c>
      <c r="AC22" s="658">
        <v>1.7274284301053224</v>
      </c>
      <c r="AD22" s="658">
        <v>1.1760848077444994</v>
      </c>
      <c r="AE22" s="658">
        <v>1.8903933763416674</v>
      </c>
      <c r="AF22" s="658">
        <v>1.9391777215375856</v>
      </c>
    </row>
    <row r="23" spans="2:32" x14ac:dyDescent="0.25">
      <c r="B23" s="564">
        <v>0.28254254575831439</v>
      </c>
      <c r="E23" s="1" t="s">
        <v>97</v>
      </c>
      <c r="F23" s="657">
        <f>+'16 LCOE'!D282</f>
        <v>0.52863072408373679</v>
      </c>
      <c r="G23" s="657">
        <f>+'16 LCOE'!E282</f>
        <v>1.1385132759054717</v>
      </c>
      <c r="H23" s="657">
        <f>+'16 LCOE'!F282</f>
        <v>1.4745237729833447</v>
      </c>
      <c r="I23" s="657">
        <f>+'16 LCOE'!G282</f>
        <v>3.1504346321114145</v>
      </c>
      <c r="J23" s="657">
        <f>+'16 LCOE'!H282</f>
        <v>0.65408645851119207</v>
      </c>
      <c r="K23" s="657">
        <f>+'16 LCOE'!I282</f>
        <v>0.45480585476908553</v>
      </c>
      <c r="L23" s="657">
        <f>+'16 LCOE'!J282</f>
        <v>1.0939473070017265</v>
      </c>
      <c r="M23" s="657">
        <f>+'16 LCOE'!K282</f>
        <v>0.70123098102924719</v>
      </c>
      <c r="N23" s="657">
        <f>+'16 LCOE'!L282</f>
        <v>12.239107041243512</v>
      </c>
      <c r="O23" s="657">
        <f>+'16 LCOE'!M282</f>
        <v>3.9250321226554883</v>
      </c>
      <c r="P23" s="657">
        <f>+'16 LCOE'!N282</f>
        <v>1.2936521118794959</v>
      </c>
      <c r="Q23" s="657">
        <f>+'16 LCOE'!O282</f>
        <v>2.8166513226622705</v>
      </c>
      <c r="R23" s="657">
        <f>+'16 LCOE'!P282</f>
        <v>0</v>
      </c>
      <c r="T23" t="s">
        <v>611</v>
      </c>
      <c r="U23" s="658">
        <v>7.5581780974163673</v>
      </c>
      <c r="V23" s="658">
        <v>7.5799951275670265</v>
      </c>
      <c r="W23" s="658">
        <v>7.6753591531902563</v>
      </c>
      <c r="X23" s="658">
        <v>6.9433731714490685</v>
      </c>
      <c r="Y23" s="658">
        <v>7.1214083809734108</v>
      </c>
      <c r="Z23" s="658">
        <v>6.692407876095479</v>
      </c>
      <c r="AA23" s="658">
        <v>6.1718872635102837</v>
      </c>
      <c r="AB23" s="658">
        <v>7.8581057996948118</v>
      </c>
      <c r="AC23" s="658">
        <v>3.2061901744353332</v>
      </c>
      <c r="AD23" s="658">
        <v>4.3359905216173047</v>
      </c>
      <c r="AE23" s="658">
        <v>5.3929112011255</v>
      </c>
      <c r="AF23" s="658">
        <v>6.4589517873944935</v>
      </c>
    </row>
    <row r="24" spans="2:32" x14ac:dyDescent="0.25">
      <c r="B24" s="564">
        <v>0.28418315295214208</v>
      </c>
      <c r="E24" s="78" t="s">
        <v>1093</v>
      </c>
      <c r="F24" s="657" t="e">
        <f>+'16 LCOE'!#REF!</f>
        <v>#REF!</v>
      </c>
      <c r="G24" s="657" t="e">
        <f>+'16 LCOE'!#REF!</f>
        <v>#REF!</v>
      </c>
      <c r="H24" s="657" t="e">
        <f>+'16 LCOE'!#REF!</f>
        <v>#REF!</v>
      </c>
      <c r="I24" s="657">
        <f>+'16 LCOE'!G286</f>
        <v>3.20559788442465</v>
      </c>
      <c r="J24" s="657">
        <f>+'16 LCOE'!H286</f>
        <v>0.66399685939772524</v>
      </c>
      <c r="K24" s="657">
        <f>+'16 LCOE'!I286</f>
        <v>0.37989665516006088</v>
      </c>
      <c r="L24" s="657">
        <f>+'16 LCOE'!J286</f>
        <v>1.2317905333531498</v>
      </c>
      <c r="M24" s="657">
        <f>+'16 LCOE'!K286</f>
        <v>0.8586501808521404</v>
      </c>
      <c r="N24" s="657">
        <f>+'16 LCOE'!L286</f>
        <v>3.5800174115750187</v>
      </c>
      <c r="O24" s="657">
        <f>+'16 LCOE'!M286</f>
        <v>0.82940227039740022</v>
      </c>
      <c r="P24" s="657">
        <f>+'16 LCOE'!N286</f>
        <v>0.18764225587918615</v>
      </c>
      <c r="Q24" s="657">
        <f>+'16 LCOE'!O286</f>
        <v>5.8017817890478609</v>
      </c>
      <c r="R24" s="657">
        <f>+'16 LCOE'!P286</f>
        <v>1.448167679554806</v>
      </c>
      <c r="T24" t="s">
        <v>613</v>
      </c>
      <c r="U24" s="658">
        <v>2.1643344032201952</v>
      </c>
      <c r="V24" s="658">
        <v>2.9341983184595928</v>
      </c>
      <c r="W24" s="658">
        <v>2.5078138591805699</v>
      </c>
      <c r="X24" s="658">
        <v>2.5517249967926814</v>
      </c>
      <c r="Y24" s="658">
        <v>2.3890467183086308</v>
      </c>
      <c r="Z24" s="658">
        <v>2.5320205566630083</v>
      </c>
      <c r="AA24" s="658">
        <v>2.5869559139081604</v>
      </c>
      <c r="AB24" s="658">
        <v>2.4065810061494282</v>
      </c>
      <c r="AC24" s="658">
        <v>2.4561547721937056</v>
      </c>
      <c r="AD24" s="658">
        <v>1.9693493218490077</v>
      </c>
      <c r="AE24" s="658">
        <v>2.6023544610147566</v>
      </c>
      <c r="AF24" s="658">
        <v>2.5174407837839525</v>
      </c>
    </row>
    <row r="25" spans="2:32" x14ac:dyDescent="0.25">
      <c r="B25" s="564">
        <v>0.31213450305156021</v>
      </c>
      <c r="E25" s="78" t="s">
        <v>1094</v>
      </c>
      <c r="F25" s="657">
        <f>+'16 LCOE'!D290</f>
        <v>0.66396345838459547</v>
      </c>
      <c r="G25" s="657">
        <f>+'16 LCOE'!E290</f>
        <v>0.25529143842514002</v>
      </c>
      <c r="H25" s="657">
        <f>+'16 LCOE'!F290</f>
        <v>1.6623328168639273</v>
      </c>
      <c r="I25" s="657">
        <f>+'16 LCOE'!G290</f>
        <v>3.0012337205724409</v>
      </c>
      <c r="J25" s="657">
        <f>+'16 LCOE'!H290</f>
        <v>0.51255897918420934</v>
      </c>
      <c r="K25" s="657">
        <f>+'16 LCOE'!I290</f>
        <v>0.4363677795757453</v>
      </c>
      <c r="L25" s="657">
        <f>+'16 LCOE'!J290</f>
        <v>0.71790292021988267</v>
      </c>
      <c r="M25" s="657">
        <f>+'16 LCOE'!K290</f>
        <v>0.57504135118571575</v>
      </c>
      <c r="N25" s="657">
        <f>+'16 LCOE'!L290</f>
        <v>14.899309128050984</v>
      </c>
      <c r="O25" s="657">
        <f>+'16 LCOE'!M290</f>
        <v>3.373906694394897</v>
      </c>
      <c r="P25" s="657">
        <f>+'16 LCOE'!N290</f>
        <v>0.29424740774031916</v>
      </c>
      <c r="Q25" s="657">
        <f>+'16 LCOE'!O290</f>
        <v>4.3517708236972075</v>
      </c>
      <c r="R25" s="657">
        <f>+'16 LCOE'!P290</f>
        <v>0</v>
      </c>
      <c r="T25" t="s">
        <v>1050</v>
      </c>
      <c r="U25" s="658">
        <v>2.7719847876886958</v>
      </c>
      <c r="V25" s="658">
        <v>1.2524460227000844</v>
      </c>
      <c r="W25" s="658">
        <v>0.52166166277759229</v>
      </c>
      <c r="X25" s="658">
        <v>0.52956562736513169</v>
      </c>
      <c r="Y25" s="658">
        <v>0.40878750182571588</v>
      </c>
      <c r="Z25" s="658">
        <v>0.4064108303034728</v>
      </c>
      <c r="AA25" s="658">
        <v>0.1648647707834843</v>
      </c>
      <c r="AB25" s="658">
        <v>0.18180146375083855</v>
      </c>
      <c r="AC25" s="658">
        <v>0.2870745906045068</v>
      </c>
      <c r="AD25" s="658">
        <v>0.44242191653289537</v>
      </c>
      <c r="AE25" s="658">
        <v>0.23146577090131573</v>
      </c>
      <c r="AF25" s="658">
        <v>0.49930473437283857</v>
      </c>
    </row>
    <row r="26" spans="2:32" x14ac:dyDescent="0.25">
      <c r="B26" s="564">
        <v>0.32120626254629464</v>
      </c>
      <c r="E26" s="78" t="s">
        <v>1095</v>
      </c>
      <c r="F26" s="657">
        <f>+'16 LCOE'!D295</f>
        <v>1.8910476949518602</v>
      </c>
      <c r="G26" s="657">
        <f>+'16 LCOE'!E295</f>
        <v>2.5625298809905677</v>
      </c>
      <c r="H26" s="657">
        <f>+'16 LCOE'!F295</f>
        <v>9.5422799447289286</v>
      </c>
      <c r="I26" s="657">
        <f>+'16 LCOE'!G294</f>
        <v>3.1808442328074711</v>
      </c>
      <c r="J26" s="657">
        <f>+'16 LCOE'!H294</f>
        <v>0.5095789851191842</v>
      </c>
      <c r="K26" s="657">
        <f>+'16 LCOE'!I294</f>
        <v>0.298992737857455</v>
      </c>
      <c r="L26" s="657">
        <f>+'16 LCOE'!J294</f>
        <v>0.48878496695821833</v>
      </c>
      <c r="M26" s="657">
        <f>+'16 LCOE'!K294</f>
        <v>0.84712467506888922</v>
      </c>
      <c r="N26" s="657">
        <f>+'16 LCOE'!L294</f>
        <v>3.8674796517407959</v>
      </c>
      <c r="O26" s="657">
        <f>+'16 LCOE'!M294</f>
        <v>1.0353269702240651</v>
      </c>
      <c r="P26" s="657">
        <f>+'16 LCOE'!N294</f>
        <v>0.16724768592681119</v>
      </c>
      <c r="Q26" s="657">
        <f>+'16 LCOE'!O294</f>
        <v>3.9405953706444419</v>
      </c>
      <c r="R26" s="657">
        <f>+'16 LCOE'!P294</f>
        <v>2.1250286602162913</v>
      </c>
      <c r="T26" t="s">
        <v>284</v>
      </c>
      <c r="U26" s="658">
        <v>0.98493605003917706</v>
      </c>
      <c r="V26" s="658">
        <v>1.4937220470007897</v>
      </c>
      <c r="W26" s="658">
        <v>0.36272693823971847</v>
      </c>
      <c r="X26" s="658">
        <v>0.30298367782376578</v>
      </c>
      <c r="Y26" s="658">
        <v>0.34802179209486583</v>
      </c>
      <c r="Z26" s="658">
        <v>0.23845937606500059</v>
      </c>
      <c r="AA26" s="658">
        <v>0.10426563811749008</v>
      </c>
      <c r="AB26" s="658">
        <v>0.14228515256917204</v>
      </c>
      <c r="AC26" s="658">
        <v>0.16723125074688397</v>
      </c>
      <c r="AD26" s="658">
        <v>0.41538084862935709</v>
      </c>
      <c r="AE26" s="658">
        <v>0.12749313175752494</v>
      </c>
      <c r="AF26" s="658">
        <v>0.27109065910547464</v>
      </c>
    </row>
    <row r="27" spans="2:32" x14ac:dyDescent="0.25">
      <c r="B27" s="564">
        <v>0.34014508882139155</v>
      </c>
      <c r="E27" s="78" t="s">
        <v>101</v>
      </c>
      <c r="F27" s="657">
        <f>+'16 LCOE'!D299</f>
        <v>1.7422596783439694</v>
      </c>
      <c r="G27" s="657">
        <f>+'16 LCOE'!E299</f>
        <v>2.3489857242413472</v>
      </c>
      <c r="H27" s="657">
        <f>+'16 LCOE'!F299</f>
        <v>8.8001026156944686</v>
      </c>
      <c r="I27" s="657">
        <f>+'16 LCOE'!G298</f>
        <v>3.249856632335836</v>
      </c>
      <c r="J27" s="657">
        <f>+'16 LCOE'!H298</f>
        <v>0.20671600339740492</v>
      </c>
      <c r="K27" s="657">
        <f>+'16 LCOE'!I298</f>
        <v>0.13073366675548631</v>
      </c>
      <c r="L27" s="657">
        <f>+'16 LCOE'!J298</f>
        <v>0.33030759808822813</v>
      </c>
      <c r="M27" s="657">
        <f>+'16 LCOE'!K298</f>
        <v>1.4676927509914539</v>
      </c>
      <c r="N27" s="657">
        <f>+'16 LCOE'!L298</f>
        <v>2.487651949117343</v>
      </c>
      <c r="O27" s="657">
        <f>+'16 LCOE'!M298</f>
        <v>0.78556225508589017</v>
      </c>
      <c r="P27" s="657">
        <f>+'16 LCOE'!N298</f>
        <v>9.0040669035229642E-2</v>
      </c>
      <c r="Q27" s="657">
        <f>+'16 LCOE'!O298</f>
        <v>2.6369182477811908</v>
      </c>
      <c r="R27" s="657">
        <f>+'16 LCOE'!P298</f>
        <v>4.2500573204325827</v>
      </c>
      <c r="T27" t="s">
        <v>587</v>
      </c>
      <c r="U27" s="658">
        <v>0</v>
      </c>
      <c r="V27" s="658">
        <v>0.44660622253374505</v>
      </c>
      <c r="W27" s="658">
        <v>0.87246932532517074</v>
      </c>
      <c r="X27" s="658">
        <v>0.98240513843584842</v>
      </c>
      <c r="Y27" s="658">
        <v>0.57255799474464297</v>
      </c>
      <c r="Z27" s="658">
        <v>0.38982671982614014</v>
      </c>
      <c r="AA27" s="658">
        <v>0.26343430383650024</v>
      </c>
      <c r="AB27" s="658">
        <v>0.34407240998739103</v>
      </c>
      <c r="AC27" s="658">
        <v>0.30221617866933742</v>
      </c>
      <c r="AD27" s="658">
        <v>0.56922270545486797</v>
      </c>
      <c r="AE27" s="658">
        <v>0.15789031955615301</v>
      </c>
      <c r="AF27" s="658">
        <v>0.37013850165310275</v>
      </c>
    </row>
    <row r="28" spans="2:32" x14ac:dyDescent="0.25">
      <c r="B28" s="564">
        <v>0.3580858505111093</v>
      </c>
      <c r="E28" s="78" t="s">
        <v>102</v>
      </c>
      <c r="F28" s="657">
        <f>+'16 LCOE'!D303</f>
        <v>1.4604326506908307</v>
      </c>
      <c r="G28" s="657">
        <f>+'16 LCOE'!E303</f>
        <v>3.7125432909961034</v>
      </c>
      <c r="H28" s="657">
        <f>+'16 LCOE'!F303</f>
        <v>11.147451416086215</v>
      </c>
      <c r="I28" s="657">
        <f>+'16 LCOE'!G302</f>
        <v>3.0232611240261842</v>
      </c>
      <c r="J28" s="657">
        <f>+'16 LCOE'!H302</f>
        <v>0.22795210777763275</v>
      </c>
      <c r="K28" s="657">
        <f>+'16 LCOE'!I302</f>
        <v>0.17840450656687976</v>
      </c>
      <c r="L28" s="657">
        <f>+'16 LCOE'!J302</f>
        <v>0.43141583938096228</v>
      </c>
      <c r="M28" s="657">
        <f>+'16 LCOE'!K302</f>
        <v>1.3333265132246213</v>
      </c>
      <c r="N28" s="657">
        <f>+'16 LCOE'!L302</f>
        <v>9.8920014061677186</v>
      </c>
      <c r="O28" s="657">
        <f>+'16 LCOE'!M302</f>
        <v>3.4473698866848985</v>
      </c>
      <c r="P28" s="657">
        <f>+'16 LCOE'!N302</f>
        <v>0.18143756372785039</v>
      </c>
      <c r="Q28" s="657">
        <f>+'16 LCOE'!O302</f>
        <v>3.7212247950245501</v>
      </c>
      <c r="R28" s="657">
        <f>+'16 LCOE'!P302</f>
        <v>0</v>
      </c>
      <c r="T28" t="s">
        <v>889</v>
      </c>
      <c r="U28" s="658">
        <v>0</v>
      </c>
      <c r="V28" s="658">
        <v>0</v>
      </c>
      <c r="W28" s="658">
        <v>0.59195651492253576</v>
      </c>
      <c r="X28" s="658">
        <v>0.72484471215004465</v>
      </c>
      <c r="Y28" s="658">
        <v>0.48543131064262662</v>
      </c>
      <c r="Z28" s="658">
        <v>0.71511525292655331</v>
      </c>
      <c r="AA28" s="658">
        <v>1.2389787521634523</v>
      </c>
      <c r="AB28" s="658">
        <v>1.1255511199231283</v>
      </c>
      <c r="AC28" s="658">
        <v>1.1498435901373021</v>
      </c>
      <c r="AD28" s="658">
        <v>0.1557780302427727</v>
      </c>
      <c r="AE28" s="658">
        <v>0.85241738148845203</v>
      </c>
      <c r="AF28" s="658">
        <v>0.43196826764617502</v>
      </c>
    </row>
    <row r="29" spans="2:32" x14ac:dyDescent="0.25">
      <c r="B29" s="564">
        <v>0.35899523461056454</v>
      </c>
      <c r="E29" s="78" t="s">
        <v>862</v>
      </c>
      <c r="F29" s="657">
        <f>+'16 LCOE'!D307</f>
        <v>1.4301085330477894</v>
      </c>
      <c r="G29" s="657">
        <f>+'16 LCOE'!E307</f>
        <v>2.4536924049686921</v>
      </c>
      <c r="H29" s="657">
        <f>+'16 LCOE'!F307</f>
        <v>4.4881685325422414</v>
      </c>
      <c r="I29" s="657">
        <f>+'16 LCOE'!G306</f>
        <v>3.0855380385660505</v>
      </c>
      <c r="J29" s="657">
        <f>+'16 LCOE'!H306</f>
        <v>0.35994901618275066</v>
      </c>
      <c r="K29" s="657">
        <f>+'16 LCOE'!I306</f>
        <v>0.20968321875717677</v>
      </c>
      <c r="L29" s="657">
        <f>+'16 LCOE'!J306</f>
        <v>0.37893432489956708</v>
      </c>
      <c r="M29" s="657">
        <f>+'16 LCOE'!K306</f>
        <v>1.362103344445303</v>
      </c>
      <c r="N29" s="657">
        <f>+'16 LCOE'!L306</f>
        <v>1.9973433701249086</v>
      </c>
      <c r="O29" s="657">
        <f>+'16 LCOE'!M306</f>
        <v>0.37185911719735759</v>
      </c>
      <c r="P29" s="657">
        <f>+'16 LCOE'!N306</f>
        <v>0.18203735732695073</v>
      </c>
      <c r="Q29" s="657">
        <f>+'16 LCOE'!O306</f>
        <v>2.8063737797377675</v>
      </c>
      <c r="R29" s="657">
        <f>+'16 LCOE'!P306</f>
        <v>4.8750587848119267</v>
      </c>
      <c r="T29" t="s">
        <v>890</v>
      </c>
      <c r="U29" s="658">
        <v>0</v>
      </c>
      <c r="V29" s="658">
        <v>0</v>
      </c>
      <c r="W29" s="658">
        <v>10.027357904278404</v>
      </c>
      <c r="X29" s="658">
        <v>2.934270323123024</v>
      </c>
      <c r="Y29" s="658">
        <v>12.193552530788663</v>
      </c>
      <c r="Z29" s="658">
        <v>3.1715617368677194</v>
      </c>
      <c r="AA29" s="658">
        <v>2.041955973476429</v>
      </c>
      <c r="AB29" s="658">
        <v>8.1179588956424507</v>
      </c>
      <c r="AC29" s="658">
        <v>1.63722102180705</v>
      </c>
      <c r="AD29" s="658">
        <v>13.804406436710526</v>
      </c>
      <c r="AE29" s="658">
        <v>1.4322363003816674</v>
      </c>
      <c r="AF29" s="658">
        <v>4.3531727491387144</v>
      </c>
    </row>
    <row r="30" spans="2:32" x14ac:dyDescent="0.25">
      <c r="B30" s="564">
        <v>0.37185911719735759</v>
      </c>
      <c r="E30" s="78" t="s">
        <v>1096</v>
      </c>
      <c r="F30" s="657">
        <f>+'16 LCOE'!D311</f>
        <v>2.1357590913092928</v>
      </c>
      <c r="G30" s="657">
        <f>+'16 LCOE'!E311</f>
        <v>1.668434633751225</v>
      </c>
      <c r="H30" s="657">
        <f>+'16 LCOE'!F311</f>
        <v>6.0697136344856926</v>
      </c>
      <c r="I30" s="657">
        <f>+'16 LCOE'!G310</f>
        <v>2.473989958850257</v>
      </c>
      <c r="J30" s="657">
        <f>+'16 LCOE'!H310</f>
        <v>0.55473155342088509</v>
      </c>
      <c r="K30" s="657">
        <f>+'16 LCOE'!I310</f>
        <v>0.52082605949363292</v>
      </c>
      <c r="L30" s="657">
        <f>+'16 LCOE'!J310</f>
        <v>0.71372096146131969</v>
      </c>
      <c r="M30" s="657">
        <f>+'16 LCOE'!K310</f>
        <v>0.18453446869190729</v>
      </c>
      <c r="N30" s="657">
        <f>+'16 LCOE'!L310</f>
        <v>16.855476013364672</v>
      </c>
      <c r="O30" s="657">
        <f>+'16 LCOE'!M310</f>
        <v>6.9465299567076677</v>
      </c>
      <c r="P30" s="657">
        <f>+'16 LCOE'!N310</f>
        <v>0.15231721712585017</v>
      </c>
      <c r="Q30" s="657">
        <f>+'16 LCOE'!O310</f>
        <v>2.2319725912936592</v>
      </c>
      <c r="R30" s="657">
        <f>+'16 LCOE'!P310</f>
        <v>0</v>
      </c>
      <c r="T30" t="s">
        <v>517</v>
      </c>
      <c r="U30" s="658">
        <v>0</v>
      </c>
      <c r="V30" s="658">
        <v>0</v>
      </c>
      <c r="W30" s="658">
        <v>3.3522747394345438</v>
      </c>
      <c r="X30" s="658">
        <v>0.70934437919427007</v>
      </c>
      <c r="Y30" s="658">
        <v>2.870849945110888</v>
      </c>
      <c r="Z30" s="658">
        <v>0.8870067806516424</v>
      </c>
      <c r="AA30" s="658">
        <v>0.67507664875468887</v>
      </c>
      <c r="AB30" s="658">
        <v>2.960475603241342</v>
      </c>
      <c r="AC30" s="658">
        <v>0.31812778483435677</v>
      </c>
      <c r="AD30" s="658">
        <v>5.925466177237225</v>
      </c>
      <c r="AE30" s="658">
        <v>0.34989569593645498</v>
      </c>
      <c r="AF30" s="658">
        <v>2.1744055958006485</v>
      </c>
    </row>
    <row r="31" spans="2:32" x14ac:dyDescent="0.25">
      <c r="B31" s="564">
        <v>0.40767990022978384</v>
      </c>
      <c r="E31" s="78" t="s">
        <v>1097</v>
      </c>
      <c r="F31" s="657">
        <f>+'16 LCOE'!D315</f>
        <v>1.7829878266688974</v>
      </c>
      <c r="G31" s="657">
        <f>+'16 LCOE'!E315</f>
        <v>2.6851728205317671</v>
      </c>
      <c r="H31" s="657">
        <f>+'16 LCOE'!F315</f>
        <v>7.6894100525485776</v>
      </c>
      <c r="I31" s="657">
        <f>+'16 LCOE'!G314</f>
        <v>3.2692010170521217</v>
      </c>
      <c r="J31" s="657">
        <f>+'16 LCOE'!H314</f>
        <v>0.2902237928493368</v>
      </c>
      <c r="K31" s="657">
        <f>+'16 LCOE'!I314</f>
        <v>0.15985750340893617</v>
      </c>
      <c r="L31" s="657">
        <f>+'16 LCOE'!J314</f>
        <v>0.1979710745884633</v>
      </c>
      <c r="M31" s="657">
        <f>+'16 LCOE'!K314</f>
        <v>1.0097726126821163</v>
      </c>
      <c r="N31" s="657">
        <f>+'16 LCOE'!L314</f>
        <v>1.7463673373903525</v>
      </c>
      <c r="O31" s="657">
        <f>+'16 LCOE'!M314</f>
        <v>0.40829922657431517</v>
      </c>
      <c r="P31" s="657">
        <f>+'16 LCOE'!N314</f>
        <v>0.11638408941419627</v>
      </c>
      <c r="Q31" s="657">
        <f>+'16 LCOE'!O314</f>
        <v>3.2769161503253783</v>
      </c>
      <c r="R31" s="657">
        <f>+'16 LCOE'!P314</f>
        <v>2.6419275235121464</v>
      </c>
      <c r="T31" t="s">
        <v>516</v>
      </c>
      <c r="U31" s="658">
        <v>0</v>
      </c>
      <c r="V31" s="658">
        <v>0</v>
      </c>
      <c r="W31" s="658">
        <v>1.2263459393692149</v>
      </c>
      <c r="X31" s="658">
        <v>0.17102019742009364</v>
      </c>
      <c r="Y31" s="658">
        <v>0.26818186301544072</v>
      </c>
      <c r="Z31" s="658">
        <v>0.152432255364021</v>
      </c>
      <c r="AA31" s="658">
        <v>8.2064527108205387E-2</v>
      </c>
      <c r="AB31" s="658">
        <v>0.16536514029194035</v>
      </c>
      <c r="AC31" s="658">
        <v>0.16591180191274016</v>
      </c>
      <c r="AD31" s="658">
        <v>0.13882438377906769</v>
      </c>
      <c r="AE31" s="658">
        <v>0.10607434799221838</v>
      </c>
      <c r="AF31" s="658">
        <v>0.22673006811889465</v>
      </c>
    </row>
    <row r="32" spans="2:32" x14ac:dyDescent="0.25">
      <c r="B32" s="564">
        <v>0.40829922657431528</v>
      </c>
      <c r="E32" s="78" t="s">
        <v>1098</v>
      </c>
      <c r="F32" s="657">
        <f>+'16 LCOE'!D319</f>
        <v>1.7745057252748946</v>
      </c>
      <c r="G32" s="657">
        <f>+'16 LCOE'!E319</f>
        <v>2.7544676029971091</v>
      </c>
      <c r="H32" s="657">
        <f>+'16 LCOE'!F319</f>
        <v>9.2094097140988787</v>
      </c>
      <c r="I32" s="657">
        <f>+'16 LCOE'!G318</f>
        <v>3.162528431083055</v>
      </c>
      <c r="J32" s="657">
        <f>+'16 LCOE'!H318</f>
        <v>0.62605418171785554</v>
      </c>
      <c r="K32" s="657">
        <f>+'16 LCOE'!I318</f>
        <v>0.33990753356426501</v>
      </c>
      <c r="L32" s="657">
        <f>+'16 LCOE'!J318</f>
        <v>0.46409885751588409</v>
      </c>
      <c r="M32" s="657">
        <f>+'16 LCOE'!K318</f>
        <v>0.51170909426458588</v>
      </c>
      <c r="N32" s="657">
        <f>+'16 LCOE'!L318</f>
        <v>5.3010652364094852</v>
      </c>
      <c r="O32" s="657">
        <f>+'16 LCOE'!M318</f>
        <v>2.5268716777827707</v>
      </c>
      <c r="P32" s="657">
        <f>+'16 LCOE'!N318</f>
        <v>0.24876676614380006</v>
      </c>
      <c r="Q32" s="657">
        <f>+'16 LCOE'!O318</f>
        <v>3.3850861980060221</v>
      </c>
      <c r="R32" s="657">
        <f>+'16 LCOE'!P318</f>
        <v>7.1384789349031772</v>
      </c>
      <c r="T32" t="s">
        <v>586</v>
      </c>
      <c r="U32" s="658">
        <v>0</v>
      </c>
      <c r="V32" s="658">
        <v>0</v>
      </c>
      <c r="W32" s="658">
        <v>2.3250607592668628</v>
      </c>
      <c r="X32" s="658">
        <v>4.7891959728952678</v>
      </c>
      <c r="Y32" s="658">
        <v>3.5922556313918372</v>
      </c>
      <c r="Z32" s="658">
        <v>3.2528426897277805</v>
      </c>
      <c r="AA32" s="658">
        <v>2.1766965239828924</v>
      </c>
      <c r="AB32" s="658">
        <v>3.071758892451268</v>
      </c>
      <c r="AC32" s="658">
        <v>2.3165769573978912</v>
      </c>
      <c r="AD32" s="658">
        <v>1.8424260915870219</v>
      </c>
      <c r="AE32" s="658">
        <v>2.7049954998788914</v>
      </c>
      <c r="AF32" s="658">
        <v>2.7942866134671265</v>
      </c>
    </row>
    <row r="33" spans="2:32" x14ac:dyDescent="0.25">
      <c r="B33" s="564">
        <v>0.41235939110672926</v>
      </c>
      <c r="T33" t="s">
        <v>530</v>
      </c>
      <c r="U33" s="658">
        <v>0</v>
      </c>
      <c r="V33" s="658">
        <v>0</v>
      </c>
      <c r="W33" s="658">
        <v>0</v>
      </c>
      <c r="X33" s="658">
        <v>1.1985336361204542</v>
      </c>
      <c r="Y33" s="658">
        <v>0</v>
      </c>
      <c r="Z33" s="658">
        <v>1.7587178356115363</v>
      </c>
      <c r="AA33" s="658">
        <v>3.5174356712230717</v>
      </c>
      <c r="AB33" s="658">
        <v>0</v>
      </c>
      <c r="AC33" s="658">
        <v>4.039598495035805</v>
      </c>
      <c r="AD33" s="658">
        <v>0</v>
      </c>
      <c r="AE33" s="658">
        <v>2.1865140658954236</v>
      </c>
      <c r="AF33" s="658">
        <v>5.9151263677309993</v>
      </c>
    </row>
    <row r="34" spans="2:32" x14ac:dyDescent="0.25">
      <c r="B34" s="564">
        <v>0.42978302735067453</v>
      </c>
    </row>
    <row r="35" spans="2:32" x14ac:dyDescent="0.25">
      <c r="B35" s="564">
        <v>0.43856474115628302</v>
      </c>
      <c r="E35" t="s">
        <v>1101</v>
      </c>
      <c r="F35" s="1" t="s">
        <v>609</v>
      </c>
      <c r="G35" s="1" t="s">
        <v>610</v>
      </c>
      <c r="H35" s="1" t="s">
        <v>611</v>
      </c>
      <c r="I35" s="1" t="s">
        <v>613</v>
      </c>
      <c r="J35" s="1" t="s">
        <v>1050</v>
      </c>
      <c r="K35" s="1" t="s">
        <v>284</v>
      </c>
      <c r="L35" s="1" t="s">
        <v>587</v>
      </c>
      <c r="M35" s="1" t="s">
        <v>889</v>
      </c>
      <c r="N35" s="1" t="s">
        <v>890</v>
      </c>
      <c r="O35" s="1" t="s">
        <v>517</v>
      </c>
      <c r="P35" s="1" t="s">
        <v>516</v>
      </c>
      <c r="Q35" s="1" t="s">
        <v>586</v>
      </c>
      <c r="R35" s="1" t="s">
        <v>530</v>
      </c>
      <c r="T35" t="s">
        <v>1101</v>
      </c>
      <c r="U35" t="s">
        <v>11</v>
      </c>
      <c r="V35" t="s">
        <v>1</v>
      </c>
      <c r="W35" t="s">
        <v>97</v>
      </c>
      <c r="X35" t="s">
        <v>1093</v>
      </c>
      <c r="Y35" t="s">
        <v>1094</v>
      </c>
      <c r="Z35" t="s">
        <v>1095</v>
      </c>
      <c r="AA35" t="s">
        <v>101</v>
      </c>
      <c r="AB35" t="s">
        <v>102</v>
      </c>
      <c r="AC35" t="s">
        <v>862</v>
      </c>
      <c r="AD35" t="s">
        <v>1096</v>
      </c>
      <c r="AE35" t="s">
        <v>1097</v>
      </c>
      <c r="AF35" t="s">
        <v>1098</v>
      </c>
    </row>
    <row r="36" spans="2:32" x14ac:dyDescent="0.25">
      <c r="B36" s="654">
        <v>0.45847412901192125</v>
      </c>
      <c r="E36" t="s">
        <v>11</v>
      </c>
      <c r="F36" s="657" t="e">
        <f>+'16 LCOE'!#REF!</f>
        <v>#REF!</v>
      </c>
      <c r="G36" s="657" t="e">
        <f>+'16 LCOE'!#REF!</f>
        <v>#REF!</v>
      </c>
      <c r="H36" s="657" t="e">
        <f>+'16 LCOE'!#REF!</f>
        <v>#REF!</v>
      </c>
      <c r="I36" s="657">
        <f>+'16 LCOE'!G275</f>
        <v>5.3556057065390181</v>
      </c>
      <c r="J36" s="657">
        <f>+'16 LCOE'!H275</f>
        <v>4.4745416353804837</v>
      </c>
      <c r="K36" s="657">
        <f>+'16 LCOE'!I275</f>
        <v>2.9699194490650478</v>
      </c>
      <c r="L36" s="657">
        <f>+'16 LCOE'!J275</f>
        <v>2.4878609925922426</v>
      </c>
      <c r="M36" s="657">
        <f>+'16 LCOE'!K275</f>
        <v>0</v>
      </c>
      <c r="N36" s="657">
        <f>+'16 LCOE'!L275</f>
        <v>0</v>
      </c>
      <c r="O36" s="657">
        <f>+'16 LCOE'!M275</f>
        <v>0</v>
      </c>
      <c r="P36" s="657">
        <f>+'16 LCOE'!N275</f>
        <v>0</v>
      </c>
      <c r="Q36" s="657">
        <f>+'16 LCOE'!O275</f>
        <v>0</v>
      </c>
      <c r="R36" s="657">
        <f>+'16 LCOE'!P275</f>
        <v>0</v>
      </c>
      <c r="T36" t="s">
        <v>609</v>
      </c>
      <c r="U36" s="663">
        <v>4.9731790124308306</v>
      </c>
      <c r="V36" s="663">
        <v>3.6840975396789402</v>
      </c>
      <c r="W36" s="663">
        <v>2.9466382197737642</v>
      </c>
      <c r="X36" s="663">
        <v>2.946145567852787</v>
      </c>
      <c r="Y36" s="663">
        <v>2.1168914664468508</v>
      </c>
      <c r="Z36" s="663">
        <v>2.7229527218033334</v>
      </c>
      <c r="AA36" s="663">
        <v>2.2050905477180409</v>
      </c>
      <c r="AB36" s="663">
        <v>2.936333324426267</v>
      </c>
      <c r="AC36" s="663">
        <v>1.3892710083906834</v>
      </c>
      <c r="AD36" s="663">
        <v>2.2613027941737518</v>
      </c>
      <c r="AE36" s="663">
        <v>2.349214112928367</v>
      </c>
      <c r="AF36" s="663">
        <v>1.8768316094271036</v>
      </c>
    </row>
    <row r="37" spans="2:32" x14ac:dyDescent="0.25">
      <c r="B37" s="564">
        <v>0.4618926529199151</v>
      </c>
      <c r="E37" t="s">
        <v>1</v>
      </c>
      <c r="F37" s="657" t="e">
        <f>+'16 LCOE'!#REF!</f>
        <v>#REF!</v>
      </c>
      <c r="G37" s="657" t="e">
        <f>+'16 LCOE'!#REF!</f>
        <v>#REF!</v>
      </c>
      <c r="H37" s="657" t="e">
        <f>+'16 LCOE'!#REF!</f>
        <v>#REF!</v>
      </c>
      <c r="I37" s="657">
        <f>+'16 LCOE'!G279</f>
        <v>7.0786118887738256</v>
      </c>
      <c r="J37" s="657">
        <f>+'16 LCOE'!H279</f>
        <v>1.9848953865470478</v>
      </c>
      <c r="K37" s="657">
        <f>+'16 LCOE'!I279</f>
        <v>4.1520255455679154</v>
      </c>
      <c r="L37" s="657">
        <f>+'16 LCOE'!J279</f>
        <v>2.8062670850298543</v>
      </c>
      <c r="M37" s="657">
        <f>+'16 LCOE'!K279</f>
        <v>0</v>
      </c>
      <c r="N37" s="657">
        <f>+'16 LCOE'!L279</f>
        <v>0</v>
      </c>
      <c r="O37" s="657">
        <f>+'16 LCOE'!M279</f>
        <v>0</v>
      </c>
      <c r="P37" s="657">
        <f>+'16 LCOE'!N279</f>
        <v>0</v>
      </c>
      <c r="Q37" s="657">
        <f>+'16 LCOE'!O279</f>
        <v>0</v>
      </c>
      <c r="R37" s="657">
        <f>+'16 LCOE'!P279</f>
        <v>0</v>
      </c>
      <c r="T37" t="s">
        <v>610</v>
      </c>
      <c r="U37" s="663">
        <v>15.518277091773394</v>
      </c>
      <c r="V37" s="663">
        <v>5.2200274240829687</v>
      </c>
      <c r="W37" s="663">
        <v>5.7695039950390692</v>
      </c>
      <c r="X37" s="663">
        <v>7.9563321221909753</v>
      </c>
      <c r="Y37" s="663">
        <v>7.2330292019917701</v>
      </c>
      <c r="Z37" s="663">
        <v>7.2330292019918332</v>
      </c>
      <c r="AA37" s="663">
        <v>5.6830943729936463</v>
      </c>
      <c r="AB37" s="663">
        <v>7.2118799937988154</v>
      </c>
      <c r="AC37" s="663">
        <v>4.8937757100777626</v>
      </c>
      <c r="AD37" s="663">
        <v>6.1544930189015892</v>
      </c>
      <c r="AE37" s="663">
        <v>7.0269599939578562</v>
      </c>
      <c r="AF37" s="663">
        <v>7.2118799937988154</v>
      </c>
    </row>
    <row r="38" spans="2:32" x14ac:dyDescent="0.25">
      <c r="B38" s="564">
        <v>0.48154261120935321</v>
      </c>
      <c r="E38" s="1" t="s">
        <v>97</v>
      </c>
      <c r="F38" s="657">
        <f>+'16 LCOE'!D283</f>
        <v>4.1589376296635949</v>
      </c>
      <c r="G38" s="657">
        <f>+'16 LCOE'!E283</f>
        <v>8.2066746432545443</v>
      </c>
      <c r="H38" s="657">
        <f>+'16 LCOE'!F283</f>
        <v>14.580615565298238</v>
      </c>
      <c r="I38" s="657">
        <f>+'16 LCOE'!G283</f>
        <v>6.038940767610173</v>
      </c>
      <c r="J38" s="657">
        <f>+'16 LCOE'!H283</f>
        <v>5.4895066670628792</v>
      </c>
      <c r="K38" s="657">
        <f>+'16 LCOE'!I283</f>
        <v>6.8618833338285841</v>
      </c>
      <c r="L38" s="657">
        <f>+'16 LCOE'!J283</f>
        <v>1.8886805679776855</v>
      </c>
      <c r="M38" s="657">
        <f>+'16 LCOE'!K283</f>
        <v>1.4884619880337766</v>
      </c>
      <c r="N38" s="657">
        <f>+'16 LCOE'!L283</f>
        <v>55.860309062511931</v>
      </c>
      <c r="O38" s="657">
        <f>+'16 LCOE'!M283</f>
        <v>21.520441561738593</v>
      </c>
      <c r="P38" s="657">
        <f>+'16 LCOE'!N283</f>
        <v>13.043912989519225</v>
      </c>
      <c r="Q38" s="657">
        <f>+'16 LCOE'!O283</f>
        <v>15.883011953107699</v>
      </c>
      <c r="R38" s="657">
        <f>+'16 LCOE'!P283</f>
        <v>0</v>
      </c>
      <c r="T38" t="s">
        <v>611</v>
      </c>
      <c r="U38" s="663">
        <v>12.674745951013762</v>
      </c>
      <c r="V38" s="663">
        <v>8.2032253111678344</v>
      </c>
      <c r="W38" s="663">
        <v>10.415880335981591</v>
      </c>
      <c r="X38" s="663">
        <v>11.406970210237768</v>
      </c>
      <c r="Y38" s="663">
        <v>10.646505529555238</v>
      </c>
      <c r="Z38" s="663">
        <v>10.64650552955524</v>
      </c>
      <c r="AA38" s="663">
        <v>8.5172044236441913</v>
      </c>
      <c r="AB38" s="663">
        <v>10.115422249366699</v>
      </c>
      <c r="AC38" s="663">
        <v>7.9303310368243345</v>
      </c>
      <c r="AD38" s="663">
        <v>11.102463451554074</v>
      </c>
      <c r="AE38" s="663">
        <v>7.2589810428785624</v>
      </c>
      <c r="AF38" s="663">
        <v>9.3939754672546325</v>
      </c>
    </row>
    <row r="39" spans="2:32" x14ac:dyDescent="0.25">
      <c r="B39" s="564">
        <v>0.48355552451620359</v>
      </c>
      <c r="E39" s="78" t="s">
        <v>1093</v>
      </c>
      <c r="F39" s="657" t="e">
        <f>+'16 LCOE'!#REF!</f>
        <v>#REF!</v>
      </c>
      <c r="G39" s="657" t="e">
        <f>+'16 LCOE'!#REF!</f>
        <v>#REF!</v>
      </c>
      <c r="H39" s="657" t="e">
        <f>+'16 LCOE'!#REF!</f>
        <v>#REF!</v>
      </c>
      <c r="I39" s="657">
        <f>+'16 LCOE'!G287</f>
        <v>7.6381859511274959</v>
      </c>
      <c r="J39" s="657">
        <f>+'16 LCOE'!H287</f>
        <v>5.3995147544880835</v>
      </c>
      <c r="K39" s="657">
        <f>+'16 LCOE'!I287</f>
        <v>6.2145358495051672</v>
      </c>
      <c r="L39" s="657">
        <f>+'16 LCOE'!J287</f>
        <v>2.7149783164679189</v>
      </c>
      <c r="M39" s="657">
        <f>+'16 LCOE'!K287</f>
        <v>3.5807539456812578</v>
      </c>
      <c r="N39" s="657">
        <f>+'16 LCOE'!L287</f>
        <v>13.768778199204752</v>
      </c>
      <c r="O39" s="657">
        <f>+'16 LCOE'!M287</f>
        <v>3.6247844537981351</v>
      </c>
      <c r="P39" s="657">
        <f>+'16 LCOE'!N287</f>
        <v>4.4339459308239579</v>
      </c>
      <c r="Q39" s="657">
        <f>+'16 LCOE'!O287</f>
        <v>42.974727123123323</v>
      </c>
      <c r="R39" s="657">
        <f>+'16 LCOE'!P287</f>
        <v>3.6564571380861182</v>
      </c>
      <c r="T39" t="s">
        <v>613</v>
      </c>
      <c r="U39" s="663">
        <v>4.2376877051112709</v>
      </c>
      <c r="V39" s="663">
        <v>5.6347276078952016</v>
      </c>
      <c r="W39" s="663">
        <v>4.8071269904855951</v>
      </c>
      <c r="X39" s="663">
        <v>6.0801606203770433</v>
      </c>
      <c r="Y39" s="663">
        <v>4.9462399902102598</v>
      </c>
      <c r="Z39" s="663">
        <v>5.7613507002074584</v>
      </c>
      <c r="AA39" s="663">
        <v>5.5135506700910106</v>
      </c>
      <c r="AB39" s="663">
        <v>4.591882498374301</v>
      </c>
      <c r="AC39" s="663">
        <v>4.5243548145746786</v>
      </c>
      <c r="AD39" s="663">
        <v>3.0951320663086341</v>
      </c>
      <c r="AE39" s="663">
        <v>5.6554435182183509</v>
      </c>
      <c r="AF39" s="663">
        <v>4.8989829202400967</v>
      </c>
    </row>
    <row r="40" spans="2:32" x14ac:dyDescent="0.25">
      <c r="B40" s="564">
        <v>0.48435864987139682</v>
      </c>
      <c r="E40" s="78" t="s">
        <v>1094</v>
      </c>
      <c r="F40" s="657">
        <f>+'16 LCOE'!D291</f>
        <v>2.9792680253487807</v>
      </c>
      <c r="G40" s="657">
        <f>+'16 LCOE'!E291</f>
        <v>10.312620252766919</v>
      </c>
      <c r="H40" s="657">
        <f>+'16 LCOE'!F291</f>
        <v>15.180177012072956</v>
      </c>
      <c r="I40" s="657">
        <f>+'16 LCOE'!G291</f>
        <v>6.2137011113673815</v>
      </c>
      <c r="J40" s="657">
        <f>+'16 LCOE'!H291</f>
        <v>4.3338210529443826</v>
      </c>
      <c r="K40" s="657">
        <f>+'16 LCOE'!I291</f>
        <v>6.4582431377210421</v>
      </c>
      <c r="L40" s="657">
        <f>+'16 LCOE'!J291</f>
        <v>1.2891263948696596</v>
      </c>
      <c r="M40" s="657">
        <f>+'16 LCOE'!K291</f>
        <v>2.6999267718773181</v>
      </c>
      <c r="N40" s="657">
        <f>+'16 LCOE'!L291</f>
        <v>66.417197342631354</v>
      </c>
      <c r="O40" s="657">
        <f>+'16 LCOE'!M291</f>
        <v>20.280878298084694</v>
      </c>
      <c r="P40" s="657">
        <f>+'16 LCOE'!N291</f>
        <v>4.8563336649107818</v>
      </c>
      <c r="Q40" s="657">
        <f>+'16 LCOE'!O291</f>
        <v>26.969668811465063</v>
      </c>
      <c r="R40" s="657">
        <f>+'16 LCOE'!P291</f>
        <v>0</v>
      </c>
      <c r="T40" t="s">
        <v>1050</v>
      </c>
      <c r="U40" s="663">
        <v>3.6485664074497484</v>
      </c>
      <c r="V40" s="663">
        <v>1.6482515916917688</v>
      </c>
      <c r="W40" s="663">
        <v>4.3781141445534155</v>
      </c>
      <c r="X40" s="663">
        <v>4.3063417815279532</v>
      </c>
      <c r="Y40" s="663">
        <v>3.456405903594804</v>
      </c>
      <c r="Z40" s="663">
        <v>3.2835856084150619</v>
      </c>
      <c r="AA40" s="663">
        <v>1.269018592624179</v>
      </c>
      <c r="AB40" s="663">
        <v>1.3681606701729432</v>
      </c>
      <c r="AC40" s="663">
        <v>2.3880622606654991</v>
      </c>
      <c r="AD40" s="663">
        <v>2.5017795111733805</v>
      </c>
      <c r="AE40" s="663">
        <v>2.0052431196427865</v>
      </c>
      <c r="AF40" s="663">
        <v>4.3781141445534155</v>
      </c>
    </row>
    <row r="41" spans="2:32" x14ac:dyDescent="0.25">
      <c r="B41" s="564">
        <v>0.49217088615964594</v>
      </c>
      <c r="E41" s="78" t="s">
        <v>1095</v>
      </c>
      <c r="F41" s="657" t="e">
        <f>+'16 LCOE'!#REF!</f>
        <v>#REF!</v>
      </c>
      <c r="G41" s="657" t="e">
        <f>+'16 LCOE'!#REF!</f>
        <v>#REF!</v>
      </c>
      <c r="H41" s="657" t="e">
        <f>+'16 LCOE'!#REF!</f>
        <v>#REF!</v>
      </c>
      <c r="I41" s="657">
        <f>+'16 LCOE'!G295</f>
        <v>7.2376818188586372</v>
      </c>
      <c r="J41" s="657">
        <f>+'16 LCOE'!H295</f>
        <v>4.11713000029716</v>
      </c>
      <c r="K41" s="657">
        <f>+'16 LCOE'!I295</f>
        <v>4.8436823532907889</v>
      </c>
      <c r="L41" s="657">
        <f>+'16 LCOE'!J295</f>
        <v>1.0729854424364234</v>
      </c>
      <c r="M41" s="657">
        <f>+'16 LCOE'!K295</f>
        <v>3.5061549051462291</v>
      </c>
      <c r="N41" s="657">
        <f>+'16 LCOE'!L295</f>
        <v>13.663335494045088</v>
      </c>
      <c r="O41" s="657">
        <f>+'16 LCOE'!M295</f>
        <v>4.1196925454148001</v>
      </c>
      <c r="P41" s="657">
        <f>+'16 LCOE'!N295</f>
        <v>4.0028315651280515</v>
      </c>
      <c r="Q41" s="657">
        <f>+'16 LCOE'!O295</f>
        <v>27.542331142143283</v>
      </c>
      <c r="R41" s="657">
        <f>+'16 LCOE'!P295</f>
        <v>6.8253866577607543</v>
      </c>
      <c r="T41" t="s">
        <v>284</v>
      </c>
      <c r="U41" s="663">
        <v>2.5071099455542702</v>
      </c>
      <c r="V41" s="663">
        <v>3.505005680462387</v>
      </c>
      <c r="W41" s="663">
        <v>5.4726426806917567</v>
      </c>
      <c r="X41" s="663">
        <v>4.9563556353435052</v>
      </c>
      <c r="Y41" s="663">
        <v>5.1507225230040241</v>
      </c>
      <c r="Z41" s="663">
        <v>3.8630418922530239</v>
      </c>
      <c r="AA41" s="663">
        <v>1.6215237572420069</v>
      </c>
      <c r="AB41" s="663">
        <v>2.0206680667169614</v>
      </c>
      <c r="AC41" s="663">
        <v>2.6804780476857619</v>
      </c>
      <c r="AD41" s="663">
        <v>6.7355602223899087</v>
      </c>
      <c r="AE41" s="663">
        <v>2.0363321602574063</v>
      </c>
      <c r="AF41" s="663">
        <v>4.3781141445534155</v>
      </c>
    </row>
    <row r="42" spans="2:32" x14ac:dyDescent="0.25">
      <c r="B42" s="564">
        <v>0.5242109438481577</v>
      </c>
      <c r="E42" s="78" t="s">
        <v>101</v>
      </c>
      <c r="F42" s="657" t="e">
        <f>+'16 LCOE'!#REF!</f>
        <v>#REF!</v>
      </c>
      <c r="G42" s="657" t="e">
        <f>+'16 LCOE'!#REF!</f>
        <v>#REF!</v>
      </c>
      <c r="H42" s="657" t="e">
        <f>+'16 LCOE'!#REF!</f>
        <v>#REF!</v>
      </c>
      <c r="I42" s="657">
        <f>+'16 LCOE'!G299</f>
        <v>6.9263836761120308</v>
      </c>
      <c r="J42" s="657">
        <f>+'16 LCOE'!H299</f>
        <v>1.5911613527718502</v>
      </c>
      <c r="K42" s="657">
        <f>+'16 LCOE'!I299</f>
        <v>2.0331506174306977</v>
      </c>
      <c r="L42" s="657">
        <f>+'16 LCOE'!J299</f>
        <v>0.67414811469858082</v>
      </c>
      <c r="M42" s="657">
        <f>+'16 LCOE'!K299</f>
        <v>4.6748732068616201</v>
      </c>
      <c r="N42" s="657">
        <f>+'16 LCOE'!L299</f>
        <v>7.0262101228306184</v>
      </c>
      <c r="O42" s="657">
        <f>+'16 LCOE'!M299</f>
        <v>2.511613212158303</v>
      </c>
      <c r="P42" s="657">
        <f>+'16 LCOE'!N299</f>
        <v>2.0020056486950497</v>
      </c>
      <c r="Q42" s="657">
        <f>+'16 LCOE'!O299</f>
        <v>17.324449681728776</v>
      </c>
      <c r="R42" s="657">
        <f>+'16 LCOE'!P299</f>
        <v>999</v>
      </c>
      <c r="T42" t="s">
        <v>587</v>
      </c>
      <c r="U42" s="663">
        <v>2.1333565948597797</v>
      </c>
      <c r="V42" s="663">
        <v>2.6093222168509786</v>
      </c>
      <c r="W42" s="663">
        <v>1.5063027719448014</v>
      </c>
      <c r="X42" s="663">
        <v>2.165310234670649</v>
      </c>
      <c r="Y42" s="663">
        <v>1.0281329171817475</v>
      </c>
      <c r="Z42" s="663">
        <v>0.85575135022911941</v>
      </c>
      <c r="AA42" s="663">
        <v>0.53766168355253174</v>
      </c>
      <c r="AB42" s="663">
        <v>0.56542225712467997</v>
      </c>
      <c r="AC42" s="663">
        <v>0.61966601837729196</v>
      </c>
      <c r="AD42" s="663">
        <v>1.0440947980877655</v>
      </c>
      <c r="AE42" s="663">
        <v>0.34488199212853793</v>
      </c>
      <c r="AF42" s="663">
        <v>0.74822238475530356</v>
      </c>
    </row>
    <row r="43" spans="2:32" x14ac:dyDescent="0.25">
      <c r="B43" s="627">
        <v>0.54340332291874083</v>
      </c>
      <c r="E43" s="78" t="s">
        <v>102</v>
      </c>
      <c r="F43" s="657" t="e">
        <f>+'16 LCOE'!#REF!</f>
        <v>#REF!</v>
      </c>
      <c r="G43" s="657" t="e">
        <f>+'16 LCOE'!#REF!</f>
        <v>#REF!</v>
      </c>
      <c r="H43" s="657" t="e">
        <f>+'16 LCOE'!#REF!</f>
        <v>#REF!</v>
      </c>
      <c r="I43" s="657">
        <f>+'16 LCOE'!G303</f>
        <v>5.7685404347321061</v>
      </c>
      <c r="J43" s="657">
        <f>+'16 LCOE'!H303</f>
        <v>1.7154708334571509</v>
      </c>
      <c r="K43" s="657">
        <f>+'16 LCOE'!I303</f>
        <v>2.5336184617213293</v>
      </c>
      <c r="L43" s="657">
        <f>+'16 LCOE'!J303</f>
        <v>0.70895576216372957</v>
      </c>
      <c r="M43" s="657">
        <f>+'16 LCOE'!K303</f>
        <v>4.1520255455679314</v>
      </c>
      <c r="N43" s="657">
        <f>+'16 LCOE'!L303</f>
        <v>37.366662925963013</v>
      </c>
      <c r="O43" s="657">
        <f>+'16 LCOE'!M303</f>
        <v>16.905088927988572</v>
      </c>
      <c r="P43" s="657">
        <f>+'16 LCOE'!N303</f>
        <v>2.5898153326330156</v>
      </c>
      <c r="Q43" s="657">
        <f>+'16 LCOE'!O303</f>
        <v>20.732538143708204</v>
      </c>
      <c r="R43" s="657">
        <f>+'16 LCOE'!P303</f>
        <v>0</v>
      </c>
      <c r="T43" t="s">
        <v>889</v>
      </c>
      <c r="U43" s="663">
        <v>0</v>
      </c>
      <c r="V43" s="663">
        <v>0</v>
      </c>
      <c r="W43" s="663">
        <v>1.2565114703544371</v>
      </c>
      <c r="X43" s="663">
        <v>3.02275667194486</v>
      </c>
      <c r="Y43" s="663">
        <v>2.279190859594793</v>
      </c>
      <c r="Z43" s="663">
        <v>2.9597825746126736</v>
      </c>
      <c r="AA43" s="663">
        <v>3.9463767661502156</v>
      </c>
      <c r="AB43" s="663">
        <v>3.5050056804624004</v>
      </c>
      <c r="AC43" s="663">
        <v>3.371904198925848</v>
      </c>
      <c r="AD43" s="663">
        <v>0.66595107928785302</v>
      </c>
      <c r="AE43" s="663">
        <v>3.1806618712255585</v>
      </c>
      <c r="AF43" s="663">
        <v>1.5950924054798885</v>
      </c>
    </row>
    <row r="44" spans="2:32" x14ac:dyDescent="0.25">
      <c r="B44" s="564">
        <v>0.59160949377149175</v>
      </c>
      <c r="E44" s="78" t="s">
        <v>862</v>
      </c>
      <c r="F44" s="657" t="e">
        <f>+'16 LCOE'!#REF!</f>
        <v>#REF!</v>
      </c>
      <c r="G44" s="657" t="e">
        <f>+'16 LCOE'!#REF!</f>
        <v>#REF!</v>
      </c>
      <c r="H44" s="657" t="e">
        <f>+'16 LCOE'!#REF!</f>
        <v>#REF!</v>
      </c>
      <c r="I44" s="657">
        <f>+'16 LCOE'!G307</f>
        <v>5.6837089577507509</v>
      </c>
      <c r="J44" s="657">
        <f>+'16 LCOE'!H307</f>
        <v>2.9942763638524799</v>
      </c>
      <c r="K44" s="657">
        <f>+'16 LCOE'!I307</f>
        <v>3.3609224492221674</v>
      </c>
      <c r="L44" s="657">
        <f>+'16 LCOE'!J307</f>
        <v>0.77696940438756756</v>
      </c>
      <c r="M44" s="657">
        <f>+'16 LCOE'!K307</f>
        <v>3.9943536894071174</v>
      </c>
      <c r="N44" s="657">
        <f>+'16 LCOE'!L307</f>
        <v>11.459009431480174</v>
      </c>
      <c r="O44" s="657">
        <f>+'16 LCOE'!M307</f>
        <v>2.4715551346142743</v>
      </c>
      <c r="P44" s="657">
        <f>+'16 LCOE'!N307</f>
        <v>2.8479900698425378</v>
      </c>
      <c r="Q44" s="657">
        <f>+'16 LCOE'!O307</f>
        <v>16.731796989913821</v>
      </c>
      <c r="R44" s="657">
        <f>+'16 LCOE'!P307</f>
        <v>106.88292733333732</v>
      </c>
      <c r="T44" t="s">
        <v>890</v>
      </c>
      <c r="U44" s="663">
        <v>0</v>
      </c>
      <c r="V44" s="663">
        <v>0</v>
      </c>
      <c r="W44" s="663">
        <v>45.88403319339681</v>
      </c>
      <c r="X44" s="663">
        <v>11.318121273358104</v>
      </c>
      <c r="Y44" s="663">
        <v>54.57951222960854</v>
      </c>
      <c r="Z44" s="663">
        <v>11.231081498805549</v>
      </c>
      <c r="AA44" s="663">
        <v>5.7747059815437645</v>
      </c>
      <c r="AB44" s="663">
        <v>30.710936356391986</v>
      </c>
      <c r="AC44" s="663">
        <v>9.433848184670536</v>
      </c>
      <c r="AD44" s="663">
        <v>40.408361080656505</v>
      </c>
      <c r="AE44" s="663">
        <v>5.6997178310367396</v>
      </c>
      <c r="AF44" s="663">
        <v>13.999306953423572</v>
      </c>
    </row>
    <row r="45" spans="2:32" x14ac:dyDescent="0.25">
      <c r="B45" s="564">
        <v>0.61809947110454333</v>
      </c>
      <c r="E45" s="78" t="s">
        <v>1096</v>
      </c>
      <c r="F45" s="657" t="e">
        <f>+'16 LCOE'!#REF!</f>
        <v>#REF!</v>
      </c>
      <c r="G45" s="657" t="e">
        <f>+'16 LCOE'!#REF!</f>
        <v>#REF!</v>
      </c>
      <c r="H45" s="657" t="e">
        <f>+'16 LCOE'!#REF!</f>
        <v>#REF!</v>
      </c>
      <c r="I45" s="657">
        <f>+'16 LCOE'!G311</f>
        <v>3.8882516008757659</v>
      </c>
      <c r="J45" s="657">
        <f>+'16 LCOE'!H311</f>
        <v>3.1368609526073601</v>
      </c>
      <c r="K45" s="657">
        <f>+'16 LCOE'!I311</f>
        <v>8.4453948724044796</v>
      </c>
      <c r="L45" s="657">
        <f>+'16 LCOE'!J311</f>
        <v>1.309140229310559</v>
      </c>
      <c r="M45" s="657">
        <f>+'16 LCOE'!K311</f>
        <v>0.7888848536579034</v>
      </c>
      <c r="N45" s="657">
        <f>+'16 LCOE'!L311</f>
        <v>49.276900639591403</v>
      </c>
      <c r="O45" s="657">
        <f>+'16 LCOE'!M311</f>
        <v>26.10805982956699</v>
      </c>
      <c r="P45" s="657">
        <f>+'16 LCOE'!N311</f>
        <v>2.2262197861267032</v>
      </c>
      <c r="Q45" s="657">
        <f>+'16 LCOE'!O311</f>
        <v>15.941106364055424</v>
      </c>
      <c r="R45" s="657">
        <f>+'16 LCOE'!P311</f>
        <v>0</v>
      </c>
      <c r="T45" t="s">
        <v>517</v>
      </c>
      <c r="U45" s="663">
        <v>0</v>
      </c>
      <c r="V45" s="663">
        <v>0</v>
      </c>
      <c r="W45" s="663">
        <v>18.679976883891985</v>
      </c>
      <c r="X45" s="663">
        <v>3.1493903864333603</v>
      </c>
      <c r="Y45" s="663">
        <v>17.614149624831974</v>
      </c>
      <c r="Z45" s="663">
        <v>3.579239428758143</v>
      </c>
      <c r="AA45" s="663">
        <v>2.1817527979567619</v>
      </c>
      <c r="AB45" s="663">
        <v>14.684874601632048</v>
      </c>
      <c r="AC45" s="663">
        <v>2.1516562584505765</v>
      </c>
      <c r="AD45" s="663">
        <v>22.611812050943222</v>
      </c>
      <c r="AE45" s="663">
        <v>1.6093548312899357</v>
      </c>
      <c r="AF45" s="663">
        <v>7.7970466826288263</v>
      </c>
    </row>
    <row r="46" spans="2:32" x14ac:dyDescent="0.25">
      <c r="B46" s="564">
        <v>0.62746461460612724</v>
      </c>
      <c r="E46" s="78" t="s">
        <v>1097</v>
      </c>
      <c r="F46" s="657" t="e">
        <f>+'16 LCOE'!#REF!</f>
        <v>#REF!</v>
      </c>
      <c r="G46" s="657" t="e">
        <f>+'16 LCOE'!#REF!</f>
        <v>#REF!</v>
      </c>
      <c r="H46" s="657" t="e">
        <f>+'16 LCOE'!#REF!</f>
        <v>#REF!</v>
      </c>
      <c r="I46" s="657">
        <f>+'16 LCOE'!G315</f>
        <v>7.1046361971884409</v>
      </c>
      <c r="J46" s="657">
        <f>+'16 LCOE'!H315</f>
        <v>2.5142778627768925</v>
      </c>
      <c r="K46" s="657">
        <f>+'16 LCOE'!I315</f>
        <v>2.5532589149129721</v>
      </c>
      <c r="L46" s="657">
        <f>+'16 LCOE'!J315</f>
        <v>0.43243093547362355</v>
      </c>
      <c r="M46" s="657">
        <f>+'16 LCOE'!K315</f>
        <v>3.7678082562765436</v>
      </c>
      <c r="N46" s="657">
        <f>+'16 LCOE'!L315</f>
        <v>6.9303480906349693</v>
      </c>
      <c r="O46" s="657">
        <f>+'16 LCOE'!M315</f>
        <v>1.8510674932655069</v>
      </c>
      <c r="P46" s="657">
        <f>+'16 LCOE'!N315</f>
        <v>2.8409891953250956</v>
      </c>
      <c r="Q46" s="657">
        <f>+'16 LCOE'!O315</f>
        <v>22.831189651485243</v>
      </c>
      <c r="R46" s="657">
        <f>+'16 LCOE'!P315</f>
        <v>8.5317333222009442</v>
      </c>
      <c r="T46" t="s">
        <v>516</v>
      </c>
      <c r="U46" s="663">
        <v>0</v>
      </c>
      <c r="V46" s="663">
        <v>0</v>
      </c>
      <c r="W46" s="663">
        <v>12.183092899025338</v>
      </c>
      <c r="X46" s="663">
        <v>3.8990237858173127</v>
      </c>
      <c r="Y46" s="663">
        <v>4.3121764762320431</v>
      </c>
      <c r="Z46" s="663">
        <v>3.5199201177796833</v>
      </c>
      <c r="AA46" s="663">
        <v>1.7604787621196942</v>
      </c>
      <c r="AB46" s="663">
        <v>2.2996238573673713</v>
      </c>
      <c r="AC46" s="663">
        <v>2.5288698493790718</v>
      </c>
      <c r="AD46" s="663">
        <v>1.986991409740033</v>
      </c>
      <c r="AE46" s="663">
        <v>2.4982452697081232</v>
      </c>
      <c r="AF46" s="663">
        <v>2.9408766517071503</v>
      </c>
    </row>
    <row r="47" spans="2:32" x14ac:dyDescent="0.25">
      <c r="B47" s="627">
        <v>0.66265016322590831</v>
      </c>
      <c r="E47" s="78" t="s">
        <v>1098</v>
      </c>
      <c r="F47" s="657" t="e">
        <f>+'16 LCOE'!#REF!</f>
        <v>#REF!</v>
      </c>
      <c r="G47" s="657" t="e">
        <f>+'16 LCOE'!#REF!</f>
        <v>#REF!</v>
      </c>
      <c r="H47" s="657" t="e">
        <f>+'16 LCOE'!#REF!</f>
        <v>#REF!</v>
      </c>
      <c r="I47" s="657">
        <f>+'16 LCOE'!G319</f>
        <v>6.154334540239665</v>
      </c>
      <c r="J47" s="657">
        <f>+'16 LCOE'!H319</f>
        <v>5.4895066670628792</v>
      </c>
      <c r="K47" s="657">
        <f>+'16 LCOE'!I319</f>
        <v>5.4895066670628792</v>
      </c>
      <c r="L47" s="657">
        <f>+'16 LCOE'!J319</f>
        <v>0.9381600465281823</v>
      </c>
      <c r="M47" s="657">
        <f>+'16 LCOE'!K319</f>
        <v>1.8895445596596501</v>
      </c>
      <c r="N47" s="657">
        <f>+'16 LCOE'!L319</f>
        <v>17.021907591033258</v>
      </c>
      <c r="O47" s="657">
        <f>+'16 LCOE'!M319</f>
        <v>8.9681028553035773</v>
      </c>
      <c r="P47" s="657">
        <f>+'16 LCOE'!N319</f>
        <v>3.2844348096795573</v>
      </c>
      <c r="Q47" s="657">
        <f>+'16 LCOE'!O319</f>
        <v>19.839304806685877</v>
      </c>
      <c r="R47" s="657">
        <f>+'16 LCOE'!P319</f>
        <v>15.268989619048192</v>
      </c>
      <c r="T47" t="s">
        <v>586</v>
      </c>
      <c r="U47" s="663">
        <v>0</v>
      </c>
      <c r="V47" s="663">
        <v>0</v>
      </c>
      <c r="W47" s="663">
        <v>13.110947575943603</v>
      </c>
      <c r="X47" s="663">
        <v>35.474341772531872</v>
      </c>
      <c r="Y47" s="663">
        <v>22.262648606676525</v>
      </c>
      <c r="Z47" s="663">
        <v>22.735364097819296</v>
      </c>
      <c r="AA47" s="663">
        <v>14.300810968965884</v>
      </c>
      <c r="AB47" s="663">
        <v>17.114085257942779</v>
      </c>
      <c r="AC47" s="663">
        <v>13.811594037311599</v>
      </c>
      <c r="AD47" s="663">
        <v>13.158902760932426</v>
      </c>
      <c r="AE47" s="663">
        <v>18.846458814033696</v>
      </c>
      <c r="AF47" s="663">
        <v>16.376748064634583</v>
      </c>
    </row>
    <row r="48" spans="2:32" x14ac:dyDescent="0.25">
      <c r="B48" s="564">
        <v>0.67445296115684583</v>
      </c>
      <c r="T48" t="s">
        <v>530</v>
      </c>
      <c r="U48" s="663">
        <v>0</v>
      </c>
      <c r="V48" s="663">
        <v>0</v>
      </c>
      <c r="W48" s="663">
        <v>0</v>
      </c>
      <c r="X48" s="663">
        <v>3.0258042092263335</v>
      </c>
      <c r="Y48" s="663">
        <v>0</v>
      </c>
      <c r="Z48" s="663">
        <v>5.6481678572224885</v>
      </c>
      <c r="AA48" s="663">
        <v>999</v>
      </c>
      <c r="AB48" s="663">
        <v>0</v>
      </c>
      <c r="AC48" s="663">
        <v>88.544015278543981</v>
      </c>
      <c r="AD48" s="663">
        <v>0</v>
      </c>
      <c r="AE48" s="663">
        <v>7.0602098215281135</v>
      </c>
      <c r="AF48" s="663">
        <v>12.649145039792003</v>
      </c>
    </row>
    <row r="49" spans="2:2" x14ac:dyDescent="0.25">
      <c r="B49" s="564">
        <v>0.67840483397612483</v>
      </c>
    </row>
    <row r="50" spans="2:2" x14ac:dyDescent="0.25">
      <c r="B50" s="564">
        <v>0.78556225508589017</v>
      </c>
    </row>
    <row r="51" spans="2:2" x14ac:dyDescent="0.25">
      <c r="B51" s="564">
        <v>0.80051697570915104</v>
      </c>
    </row>
    <row r="52" spans="2:2" x14ac:dyDescent="0.25">
      <c r="B52" s="627">
        <v>0.8114083631337663</v>
      </c>
    </row>
    <row r="53" spans="2:2" x14ac:dyDescent="0.25">
      <c r="B53" s="564">
        <v>0.82940227039740022</v>
      </c>
    </row>
    <row r="54" spans="2:2" x14ac:dyDescent="0.25">
      <c r="B54" s="564">
        <v>0.9542162350453085</v>
      </c>
    </row>
    <row r="55" spans="2:2" x14ac:dyDescent="0.25">
      <c r="B55" s="564">
        <v>1.0337597470112383</v>
      </c>
    </row>
    <row r="56" spans="2:2" x14ac:dyDescent="0.25">
      <c r="B56" s="564">
        <v>1.0353269702240651</v>
      </c>
    </row>
    <row r="57" spans="2:2" x14ac:dyDescent="0.25">
      <c r="B57" s="627">
        <v>1.1025607757876457</v>
      </c>
    </row>
    <row r="58" spans="2:2" x14ac:dyDescent="0.25">
      <c r="B58" s="564">
        <v>1.1640190180823586</v>
      </c>
    </row>
    <row r="59" spans="2:2" x14ac:dyDescent="0.25">
      <c r="B59" s="564">
        <v>1.2599686202182729</v>
      </c>
    </row>
    <row r="60" spans="2:2" x14ac:dyDescent="0.25">
      <c r="B60" s="564">
        <v>1.2676643001490955</v>
      </c>
    </row>
    <row r="61" spans="2:2" x14ac:dyDescent="0.25">
      <c r="B61" s="564">
        <v>1.2871621875611194</v>
      </c>
    </row>
    <row r="62" spans="2:2" x14ac:dyDescent="0.25">
      <c r="B62" s="627">
        <v>1.3522998054384678</v>
      </c>
    </row>
    <row r="63" spans="2:2" x14ac:dyDescent="0.25">
      <c r="B63" s="627">
        <v>1.3720572169939715</v>
      </c>
    </row>
    <row r="64" spans="2:2" x14ac:dyDescent="0.25">
      <c r="B64" s="564">
        <v>1.3869422021007443</v>
      </c>
    </row>
    <row r="65" spans="2:2" x14ac:dyDescent="0.25">
      <c r="B65" s="617">
        <v>1.4250065886439698</v>
      </c>
    </row>
    <row r="66" spans="2:2" x14ac:dyDescent="0.25">
      <c r="B66" s="564">
        <v>1.4371728005266351</v>
      </c>
    </row>
    <row r="67" spans="2:2" x14ac:dyDescent="0.25">
      <c r="B67" s="617">
        <v>1.4439176435975241</v>
      </c>
    </row>
    <row r="68" spans="2:2" x14ac:dyDescent="0.25">
      <c r="B68" s="627">
        <v>1.6463361617810102</v>
      </c>
    </row>
    <row r="69" spans="2:2" x14ac:dyDescent="0.25">
      <c r="B69" s="564">
        <v>1.6473409963001868</v>
      </c>
    </row>
    <row r="70" spans="2:2" x14ac:dyDescent="0.25">
      <c r="B70" s="627">
        <v>1.6721078885139722</v>
      </c>
    </row>
    <row r="71" spans="2:2" x14ac:dyDescent="0.25">
      <c r="B71" s="617">
        <v>1.7200508311744429</v>
      </c>
    </row>
    <row r="72" spans="2:2" x14ac:dyDescent="0.25">
      <c r="B72" s="617">
        <v>1.7516155200670607</v>
      </c>
    </row>
    <row r="73" spans="2:2" x14ac:dyDescent="0.25">
      <c r="B73" s="617">
        <v>1.76025981164346</v>
      </c>
    </row>
    <row r="74" spans="2:2" x14ac:dyDescent="0.25">
      <c r="B74" s="617">
        <v>1.8669422244703355</v>
      </c>
    </row>
    <row r="75" spans="2:2" x14ac:dyDescent="0.25">
      <c r="B75" s="564">
        <v>1.8838187759354785</v>
      </c>
    </row>
    <row r="76" spans="2:2" x14ac:dyDescent="0.25">
      <c r="B76" s="617">
        <v>1.9112931779737268</v>
      </c>
    </row>
    <row r="77" spans="2:2" x14ac:dyDescent="0.25">
      <c r="B77" s="617">
        <v>1.9530260158003798</v>
      </c>
    </row>
    <row r="78" spans="2:2" x14ac:dyDescent="0.25">
      <c r="B78" s="627">
        <v>2.0133448292846325</v>
      </c>
    </row>
    <row r="79" spans="2:2" x14ac:dyDescent="0.25">
      <c r="B79" s="564">
        <v>2.1091723582515383</v>
      </c>
    </row>
    <row r="80" spans="2:2" x14ac:dyDescent="0.25">
      <c r="B80" s="617">
        <v>2.1307981341796194</v>
      </c>
    </row>
    <row r="81" spans="2:2" x14ac:dyDescent="0.25">
      <c r="B81" s="627">
        <v>2.3107908344162844</v>
      </c>
    </row>
    <row r="82" spans="2:2" x14ac:dyDescent="0.25">
      <c r="B82" s="564">
        <v>2.3471512137343855</v>
      </c>
    </row>
    <row r="83" spans="2:2" x14ac:dyDescent="0.25">
      <c r="B83" s="627">
        <v>2.4181316454763921</v>
      </c>
    </row>
    <row r="84" spans="2:2" x14ac:dyDescent="0.25">
      <c r="B84" s="617">
        <v>2.4196840217539921</v>
      </c>
    </row>
    <row r="85" spans="2:2" x14ac:dyDescent="0.25">
      <c r="B85" s="564">
        <v>2.473989958850257</v>
      </c>
    </row>
    <row r="86" spans="2:2" x14ac:dyDescent="0.25">
      <c r="B86" s="564">
        <v>2.4918384306706822</v>
      </c>
    </row>
    <row r="87" spans="2:2" x14ac:dyDescent="0.25">
      <c r="B87" s="627">
        <v>2.5030773553268402</v>
      </c>
    </row>
    <row r="88" spans="2:2" x14ac:dyDescent="0.25">
      <c r="B88" s="617">
        <v>2.5169479026206569</v>
      </c>
    </row>
    <row r="89" spans="2:2" x14ac:dyDescent="0.25">
      <c r="B89" s="627">
        <v>2.5208627284541358</v>
      </c>
    </row>
    <row r="90" spans="2:2" x14ac:dyDescent="0.25">
      <c r="B90" s="564">
        <v>2.5268716777827707</v>
      </c>
    </row>
    <row r="91" spans="2:2" x14ac:dyDescent="0.25">
      <c r="B91" s="627">
        <v>2.5996396887183302</v>
      </c>
    </row>
    <row r="92" spans="2:2" x14ac:dyDescent="0.25">
      <c r="B92" s="627">
        <v>2.6462572724081186</v>
      </c>
    </row>
    <row r="93" spans="2:2" x14ac:dyDescent="0.25">
      <c r="B93" s="564">
        <v>2.6519707393512588</v>
      </c>
    </row>
    <row r="94" spans="2:2" x14ac:dyDescent="0.25">
      <c r="B94" s="627">
        <v>2.6549511714570255</v>
      </c>
    </row>
    <row r="95" spans="2:2" x14ac:dyDescent="0.25">
      <c r="B95" s="564">
        <v>2.6616828252127349</v>
      </c>
    </row>
    <row r="96" spans="2:2" x14ac:dyDescent="0.25">
      <c r="B96" s="627">
        <v>2.7145477826638174</v>
      </c>
    </row>
    <row r="97" spans="2:2" x14ac:dyDescent="0.25">
      <c r="B97" s="564">
        <v>2.7189394597265188</v>
      </c>
    </row>
    <row r="98" spans="2:2" x14ac:dyDescent="0.25">
      <c r="B98" s="627">
        <v>2.7500320674045167</v>
      </c>
    </row>
    <row r="99" spans="2:2" x14ac:dyDescent="0.25">
      <c r="B99" s="564">
        <v>3.0012337205724409</v>
      </c>
    </row>
    <row r="100" spans="2:2" x14ac:dyDescent="0.25">
      <c r="B100" s="564">
        <v>3.0232611240261842</v>
      </c>
    </row>
    <row r="101" spans="2:2" x14ac:dyDescent="0.25">
      <c r="B101" s="564">
        <v>3.0855380385660505</v>
      </c>
    </row>
    <row r="102" spans="2:2" x14ac:dyDescent="0.25">
      <c r="B102" s="564">
        <v>3.0966244798590261</v>
      </c>
    </row>
    <row r="103" spans="2:2" x14ac:dyDescent="0.25">
      <c r="B103" s="564">
        <v>3.1504346321114145</v>
      </c>
    </row>
    <row r="104" spans="2:2" x14ac:dyDescent="0.25">
      <c r="B104" s="564">
        <v>3.162528431083055</v>
      </c>
    </row>
    <row r="105" spans="2:2" x14ac:dyDescent="0.25">
      <c r="B105" s="564">
        <v>3.1808442328074711</v>
      </c>
    </row>
    <row r="106" spans="2:2" x14ac:dyDescent="0.25">
      <c r="B106" s="564">
        <v>3.1988431520097125</v>
      </c>
    </row>
    <row r="107" spans="2:2" x14ac:dyDescent="0.25">
      <c r="B107" s="564">
        <v>3.20559788442465</v>
      </c>
    </row>
    <row r="108" spans="2:2" x14ac:dyDescent="0.25">
      <c r="B108" s="564">
        <v>3.225880646202238</v>
      </c>
    </row>
    <row r="109" spans="2:2" x14ac:dyDescent="0.25">
      <c r="B109" s="564">
        <v>3.249856632335836</v>
      </c>
    </row>
    <row r="110" spans="2:2" x14ac:dyDescent="0.25">
      <c r="B110" s="564">
        <v>3.2692010170521217</v>
      </c>
    </row>
    <row r="111" spans="2:2" x14ac:dyDescent="0.25">
      <c r="B111" s="627">
        <v>3.366039250503134</v>
      </c>
    </row>
    <row r="112" spans="2:2" x14ac:dyDescent="0.25">
      <c r="B112" s="564">
        <v>3.373906694394897</v>
      </c>
    </row>
    <row r="113" spans="2:2" x14ac:dyDescent="0.25">
      <c r="B113" s="564">
        <v>3.3764527716465524</v>
      </c>
    </row>
    <row r="114" spans="2:2" x14ac:dyDescent="0.25">
      <c r="B114" s="564">
        <v>3.4473698866848985</v>
      </c>
    </row>
    <row r="115" spans="2:2" x14ac:dyDescent="0.25">
      <c r="B115" s="564">
        <v>3.5164878400038462</v>
      </c>
    </row>
    <row r="116" spans="2:2" x14ac:dyDescent="0.25">
      <c r="B116" s="564">
        <v>3.6480992127201435</v>
      </c>
    </row>
    <row r="117" spans="2:2" x14ac:dyDescent="0.25">
      <c r="B117" s="627">
        <v>3.6587383157642761</v>
      </c>
    </row>
    <row r="118" spans="2:2" x14ac:dyDescent="0.25">
      <c r="B118" s="564">
        <v>3.6860789990923259</v>
      </c>
    </row>
    <row r="119" spans="2:2" x14ac:dyDescent="0.25">
      <c r="B119" s="564">
        <v>3.7237889314760442</v>
      </c>
    </row>
    <row r="120" spans="2:2" x14ac:dyDescent="0.25">
      <c r="B120" s="564">
        <v>3.9250321226554887</v>
      </c>
    </row>
    <row r="121" spans="2:2" x14ac:dyDescent="0.25">
      <c r="B121" s="617">
        <v>3.9581090258175884</v>
      </c>
    </row>
    <row r="122" spans="2:2" x14ac:dyDescent="0.25">
      <c r="B122" s="627">
        <v>4.0266896585692642</v>
      </c>
    </row>
    <row r="123" spans="2:2" x14ac:dyDescent="0.25">
      <c r="B123" s="564">
        <v>4.1123420451447874</v>
      </c>
    </row>
    <row r="124" spans="2:2" x14ac:dyDescent="0.25">
      <c r="B124" s="564">
        <v>4.4881685325422414</v>
      </c>
    </row>
    <row r="125" spans="2:2" x14ac:dyDescent="0.25">
      <c r="B125" s="627">
        <v>4.624451164184789</v>
      </c>
    </row>
    <row r="126" spans="2:2" x14ac:dyDescent="0.25">
      <c r="B126" s="564">
        <v>5.00225259549656</v>
      </c>
    </row>
    <row r="127" spans="2:2" x14ac:dyDescent="0.25">
      <c r="B127" s="564">
        <v>5.4825752904852294</v>
      </c>
    </row>
    <row r="128" spans="2:2" x14ac:dyDescent="0.25">
      <c r="B128" s="564">
        <v>6.0697136344856926</v>
      </c>
    </row>
    <row r="129" spans="2:2" x14ac:dyDescent="0.25">
      <c r="B129" s="627">
        <v>6.7715177761277259</v>
      </c>
    </row>
    <row r="130" spans="2:2" x14ac:dyDescent="0.25">
      <c r="B130" s="564">
        <v>6.9465299567076677</v>
      </c>
    </row>
    <row r="131" spans="2:2" x14ac:dyDescent="0.25">
      <c r="B131" s="564">
        <v>7.5492385151323278</v>
      </c>
    </row>
    <row r="132" spans="2:2" x14ac:dyDescent="0.25">
      <c r="B132" s="564">
        <v>8.6396840784292053</v>
      </c>
    </row>
    <row r="133" spans="2:2" x14ac:dyDescent="0.25">
      <c r="B133" s="564">
        <v>9.04152984951895</v>
      </c>
    </row>
    <row r="134" spans="2:2" x14ac:dyDescent="0.25">
      <c r="B134" s="564">
        <v>9.3327540919621121</v>
      </c>
    </row>
    <row r="135" spans="2:2" x14ac:dyDescent="0.25">
      <c r="B135" s="564">
        <v>9.3683321332364748</v>
      </c>
    </row>
    <row r="136" spans="2:2" x14ac:dyDescent="0.25">
      <c r="B136" s="564">
        <v>9.719644588232855</v>
      </c>
    </row>
    <row r="137" spans="2:2" x14ac:dyDescent="0.25">
      <c r="B137" s="564">
        <v>9.9688662443413989</v>
      </c>
    </row>
    <row r="138" spans="2:2" x14ac:dyDescent="0.25">
      <c r="B138" s="564">
        <v>10.580276045586864</v>
      </c>
    </row>
    <row r="139" spans="2:2" x14ac:dyDescent="0.25">
      <c r="B139" s="564">
        <v>10.61081650103972</v>
      </c>
    </row>
    <row r="140" spans="2:2" x14ac:dyDescent="0.25">
      <c r="B140" s="564">
        <v>10.744311333115334</v>
      </c>
    </row>
    <row r="141" spans="2:2" x14ac:dyDescent="0.25">
      <c r="B141" s="564">
        <v>11.000128269618115</v>
      </c>
    </row>
    <row r="142" spans="2:2" x14ac:dyDescent="0.25">
      <c r="B142" s="564">
        <v>11.541877545780029</v>
      </c>
    </row>
    <row r="143" spans="2:2" x14ac:dyDescent="0.25">
      <c r="B143" s="564">
        <v>14.046349235074674</v>
      </c>
    </row>
    <row r="144" spans="2:2" x14ac:dyDescent="0.25">
      <c r="B144" s="564">
        <v>15.893660016242336</v>
      </c>
    </row>
  </sheetData>
  <sortState ref="B5:B144">
    <sortCondition ref="B5"/>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69"/>
  <sheetViews>
    <sheetView topLeftCell="A142" zoomScale="90" zoomScaleNormal="90" workbookViewId="0"/>
  </sheetViews>
  <sheetFormatPr baseColWidth="10" defaultColWidth="9.140625" defaultRowHeight="15" x14ac:dyDescent="0.25"/>
  <cols>
    <col min="1" max="1" width="21" customWidth="1"/>
    <col min="2" max="2" width="17.7109375" customWidth="1"/>
    <col min="3" max="3" width="10.7109375" customWidth="1"/>
    <col min="4" max="4" width="11.85546875" customWidth="1"/>
    <col min="5" max="5" width="11.28515625" customWidth="1"/>
    <col min="6" max="6" width="12.140625" customWidth="1"/>
    <col min="7" max="7" width="10.7109375" customWidth="1"/>
    <col min="8" max="8" width="13.85546875" bestFit="1" customWidth="1"/>
    <col min="9" max="9" width="11.7109375" customWidth="1"/>
    <col min="10" max="10" width="12.85546875" customWidth="1"/>
    <col min="11" max="11" width="12.28515625" customWidth="1"/>
    <col min="13" max="13" width="8.5703125" customWidth="1"/>
    <col min="14" max="14" width="16.28515625" customWidth="1"/>
    <col min="15" max="19" width="10.140625" bestFit="1" customWidth="1"/>
    <col min="21" max="22" width="10.140625" bestFit="1" customWidth="1"/>
    <col min="23" max="27" width="11.140625" bestFit="1" customWidth="1"/>
    <col min="28" max="28" width="14" customWidth="1"/>
    <col min="29" max="29" width="19.42578125" customWidth="1"/>
    <col min="30" max="30" width="20.42578125" customWidth="1"/>
    <col min="31" max="31" width="13.28515625" customWidth="1"/>
    <col min="32" max="32" width="18.7109375" customWidth="1"/>
    <col min="33" max="33" width="11.7109375" customWidth="1"/>
  </cols>
  <sheetData>
    <row r="1" spans="1:2" x14ac:dyDescent="0.25">
      <c r="A1" s="20" t="s">
        <v>306</v>
      </c>
    </row>
    <row r="2" spans="1:2" x14ac:dyDescent="0.25">
      <c r="A2" s="20"/>
    </row>
    <row r="3" spans="1:2" x14ac:dyDescent="0.25">
      <c r="A3" s="20" t="s">
        <v>307</v>
      </c>
    </row>
    <row r="4" spans="1:2" ht="7.9" customHeight="1" x14ac:dyDescent="0.25">
      <c r="A4" s="21"/>
    </row>
    <row r="5" spans="1:2" x14ac:dyDescent="0.25">
      <c r="A5" s="22" t="s">
        <v>95</v>
      </c>
      <c r="B5" s="23" t="s">
        <v>96</v>
      </c>
    </row>
    <row r="6" spans="1:2" x14ac:dyDescent="0.25">
      <c r="A6" s="24" t="s">
        <v>11</v>
      </c>
      <c r="B6" s="25" t="str">
        <f>AH165</f>
        <v>TEK69</v>
      </c>
    </row>
    <row r="7" spans="1:2" x14ac:dyDescent="0.25">
      <c r="A7" s="24" t="s">
        <v>1</v>
      </c>
      <c r="B7" s="25" t="str">
        <f>AH169</f>
        <v>TEK69</v>
      </c>
    </row>
    <row r="8" spans="1:2" x14ac:dyDescent="0.25">
      <c r="A8" s="189" t="s">
        <v>97</v>
      </c>
      <c r="B8" s="190" t="str">
        <f t="shared" ref="B8:B17" si="0">O48</f>
        <v>TEK69/TEK87</v>
      </c>
    </row>
    <row r="9" spans="1:2" x14ac:dyDescent="0.25">
      <c r="A9" s="24" t="s">
        <v>98</v>
      </c>
      <c r="B9" s="25" t="str">
        <f t="shared" si="0"/>
        <v>TEK69</v>
      </c>
    </row>
    <row r="10" spans="1:2" x14ac:dyDescent="0.25">
      <c r="A10" s="24" t="s">
        <v>99</v>
      </c>
      <c r="B10" s="25" t="str">
        <f t="shared" si="0"/>
        <v>TEK69</v>
      </c>
    </row>
    <row r="11" spans="1:2" x14ac:dyDescent="0.25">
      <c r="A11" s="24" t="s">
        <v>100</v>
      </c>
      <c r="B11" s="25" t="str">
        <f t="shared" si="0"/>
        <v>TEK69</v>
      </c>
    </row>
    <row r="12" spans="1:2" x14ac:dyDescent="0.25">
      <c r="A12" s="24" t="s">
        <v>101</v>
      </c>
      <c r="B12" s="25" t="str">
        <f t="shared" si="0"/>
        <v>TEK69</v>
      </c>
    </row>
    <row r="13" spans="1:2" x14ac:dyDescent="0.25">
      <c r="A13" s="189" t="s">
        <v>102</v>
      </c>
      <c r="B13" s="190" t="str">
        <f t="shared" si="0"/>
        <v>TEK69/TEK87</v>
      </c>
    </row>
    <row r="14" spans="1:2" x14ac:dyDescent="0.25">
      <c r="A14" s="24" t="s">
        <v>103</v>
      </c>
      <c r="B14" s="25" t="str">
        <f t="shared" si="0"/>
        <v>TEK69</v>
      </c>
    </row>
    <row r="15" spans="1:2" x14ac:dyDescent="0.25">
      <c r="A15" s="24" t="s">
        <v>104</v>
      </c>
      <c r="B15" s="25" t="str">
        <f t="shared" si="0"/>
        <v>TEK69</v>
      </c>
    </row>
    <row r="16" spans="1:2" x14ac:dyDescent="0.25">
      <c r="A16" s="24" t="s">
        <v>105</v>
      </c>
      <c r="B16" s="25" t="str">
        <f t="shared" si="0"/>
        <v>TEK69</v>
      </c>
    </row>
    <row r="17" spans="1:15" x14ac:dyDescent="0.25">
      <c r="A17" s="26" t="s">
        <v>106</v>
      </c>
      <c r="B17" s="27" t="str">
        <f t="shared" si="0"/>
        <v>TEK69</v>
      </c>
    </row>
    <row r="18" spans="1:15" x14ac:dyDescent="0.25">
      <c r="A18" s="21"/>
    </row>
    <row r="19" spans="1:15" x14ac:dyDescent="0.25">
      <c r="A19" s="195" t="s">
        <v>335</v>
      </c>
    </row>
    <row r="20" spans="1:15" x14ac:dyDescent="0.25">
      <c r="A20" s="683" t="s">
        <v>304</v>
      </c>
      <c r="B20" s="683"/>
      <c r="C20" s="683"/>
      <c r="D20" s="683"/>
      <c r="E20" s="683"/>
      <c r="F20" s="683"/>
      <c r="G20" s="683"/>
      <c r="H20" s="683"/>
      <c r="I20" s="683"/>
      <c r="J20" s="683"/>
      <c r="K20" s="683"/>
      <c r="L20" s="683"/>
      <c r="M20" s="683"/>
      <c r="N20" s="683"/>
      <c r="O20" s="683"/>
    </row>
    <row r="21" spans="1:15" x14ac:dyDescent="0.25">
      <c r="A21" s="683"/>
      <c r="B21" s="683"/>
      <c r="C21" s="683"/>
      <c r="D21" s="683"/>
      <c r="E21" s="683"/>
      <c r="F21" s="683"/>
      <c r="G21" s="683"/>
      <c r="H21" s="683"/>
      <c r="I21" s="683"/>
      <c r="J21" s="683"/>
      <c r="K21" s="683"/>
      <c r="L21" s="683"/>
      <c r="M21" s="683"/>
      <c r="N21" s="683"/>
      <c r="O21" s="683"/>
    </row>
    <row r="22" spans="1:15" x14ac:dyDescent="0.25">
      <c r="A22" s="683"/>
      <c r="B22" s="683"/>
      <c r="C22" s="683"/>
      <c r="D22" s="683"/>
      <c r="E22" s="683"/>
      <c r="F22" s="683"/>
      <c r="G22" s="683"/>
      <c r="H22" s="683"/>
      <c r="I22" s="683"/>
      <c r="J22" s="683"/>
      <c r="K22" s="683"/>
      <c r="L22" s="683"/>
      <c r="M22" s="683"/>
      <c r="N22" s="683"/>
      <c r="O22" s="683"/>
    </row>
    <row r="23" spans="1:15" x14ac:dyDescent="0.25">
      <c r="A23" s="683"/>
      <c r="B23" s="683"/>
      <c r="C23" s="683"/>
      <c r="D23" s="683"/>
      <c r="E23" s="683"/>
      <c r="F23" s="683"/>
      <c r="G23" s="683"/>
      <c r="H23" s="683"/>
      <c r="I23" s="683"/>
      <c r="J23" s="683"/>
      <c r="K23" s="683"/>
      <c r="L23" s="683"/>
      <c r="M23" s="683"/>
      <c r="N23" s="683"/>
      <c r="O23" s="683"/>
    </row>
    <row r="24" spans="1:15" x14ac:dyDescent="0.25">
      <c r="A24" s="683"/>
      <c r="B24" s="683"/>
      <c r="C24" s="683"/>
      <c r="D24" s="683"/>
      <c r="E24" s="683"/>
      <c r="F24" s="683"/>
      <c r="G24" s="683"/>
      <c r="H24" s="683"/>
      <c r="I24" s="683"/>
      <c r="J24" s="683"/>
      <c r="K24" s="683"/>
      <c r="L24" s="683"/>
      <c r="M24" s="683"/>
      <c r="N24" s="683"/>
      <c r="O24" s="683"/>
    </row>
    <row r="25" spans="1:15" x14ac:dyDescent="0.25">
      <c r="A25" s="683"/>
      <c r="B25" s="683"/>
      <c r="C25" s="683"/>
      <c r="D25" s="683"/>
      <c r="E25" s="683"/>
      <c r="F25" s="683"/>
      <c r="G25" s="683"/>
      <c r="H25" s="683"/>
      <c r="I25" s="683"/>
      <c r="J25" s="683"/>
      <c r="K25" s="683"/>
      <c r="L25" s="683"/>
      <c r="M25" s="683"/>
      <c r="N25" s="683"/>
      <c r="O25" s="683"/>
    </row>
    <row r="26" spans="1:15" x14ac:dyDescent="0.25">
      <c r="A26" s="21"/>
    </row>
    <row r="27" spans="1:15" x14ac:dyDescent="0.25">
      <c r="A27" s="21"/>
    </row>
    <row r="28" spans="1:15" x14ac:dyDescent="0.25">
      <c r="A28" s="21"/>
    </row>
    <row r="29" spans="1:15" x14ac:dyDescent="0.25">
      <c r="A29" s="21"/>
    </row>
    <row r="30" spans="1:15" x14ac:dyDescent="0.25">
      <c r="A30" s="21"/>
    </row>
    <row r="31" spans="1:15" x14ac:dyDescent="0.25">
      <c r="A31" s="21"/>
    </row>
    <row r="32" spans="1:15" x14ac:dyDescent="0.25">
      <c r="A32" s="21"/>
    </row>
    <row r="33" spans="1:16" x14ac:dyDescent="0.25">
      <c r="A33" s="21"/>
    </row>
    <row r="34" spans="1:16" x14ac:dyDescent="0.25">
      <c r="A34" s="21"/>
    </row>
    <row r="35" spans="1:16" x14ac:dyDescent="0.25">
      <c r="A35" s="21"/>
    </row>
    <row r="36" spans="1:16" x14ac:dyDescent="0.25">
      <c r="A36" s="21"/>
    </row>
    <row r="37" spans="1:16" x14ac:dyDescent="0.25">
      <c r="A37" s="21"/>
    </row>
    <row r="38" spans="1:16" x14ac:dyDescent="0.25">
      <c r="A38" s="21"/>
    </row>
    <row r="39" spans="1:16" ht="30" customHeight="1" x14ac:dyDescent="0.25">
      <c r="A39" s="683" t="s">
        <v>93</v>
      </c>
      <c r="B39" s="683"/>
      <c r="C39" s="683"/>
      <c r="D39" s="683"/>
      <c r="E39" s="683"/>
      <c r="F39" s="683"/>
      <c r="G39" s="683"/>
      <c r="H39" s="683"/>
      <c r="I39" s="683"/>
      <c r="J39" s="683"/>
      <c r="K39" s="683"/>
      <c r="L39" s="683"/>
      <c r="M39" s="683"/>
      <c r="N39" s="683"/>
      <c r="O39" s="683"/>
    </row>
    <row r="40" spans="1:16" x14ac:dyDescent="0.25">
      <c r="A40" s="683" t="s">
        <v>94</v>
      </c>
      <c r="B40" s="683"/>
      <c r="C40" s="683"/>
      <c r="D40" s="683"/>
      <c r="E40" s="683"/>
      <c r="F40" s="683"/>
      <c r="G40" s="683"/>
      <c r="H40" s="683"/>
      <c r="I40" s="683"/>
      <c r="J40" s="683"/>
      <c r="K40" s="683"/>
      <c r="L40" s="683"/>
      <c r="M40" s="683"/>
      <c r="N40" s="683"/>
      <c r="O40" s="683"/>
    </row>
    <row r="42" spans="1:16" x14ac:dyDescent="0.25">
      <c r="A42" s="20" t="s">
        <v>107</v>
      </c>
    </row>
    <row r="43" spans="1:16" x14ac:dyDescent="0.25">
      <c r="A43" s="21"/>
    </row>
    <row r="44" spans="1:16" x14ac:dyDescent="0.25">
      <c r="A44" s="28" t="s">
        <v>108</v>
      </c>
      <c r="B44" s="4"/>
      <c r="C44" s="4"/>
      <c r="D44" s="4"/>
      <c r="E44" s="4"/>
      <c r="F44" s="4"/>
      <c r="G44" s="4"/>
      <c r="H44" s="4"/>
    </row>
    <row r="45" spans="1:16" ht="28.5" x14ac:dyDescent="0.25">
      <c r="A45" s="29" t="s">
        <v>109</v>
      </c>
      <c r="B45" s="29" t="s">
        <v>110</v>
      </c>
      <c r="C45" s="29" t="s">
        <v>111</v>
      </c>
      <c r="D45" s="29" t="s">
        <v>112</v>
      </c>
      <c r="E45" s="29" t="s">
        <v>113</v>
      </c>
      <c r="F45" s="29" t="s">
        <v>114</v>
      </c>
      <c r="G45" s="30">
        <v>-1949</v>
      </c>
      <c r="H45" s="31" t="s">
        <v>115</v>
      </c>
      <c r="L45" s="32" t="s">
        <v>116</v>
      </c>
    </row>
    <row r="46" spans="1:16" x14ac:dyDescent="0.25">
      <c r="A46" s="29" t="s">
        <v>117</v>
      </c>
      <c r="B46" s="33" t="s">
        <v>118</v>
      </c>
      <c r="C46" s="33" t="s">
        <v>119</v>
      </c>
      <c r="D46" s="33" t="s">
        <v>120</v>
      </c>
      <c r="E46" s="33" t="s">
        <v>121</v>
      </c>
      <c r="F46" s="33" t="s">
        <v>122</v>
      </c>
      <c r="G46" s="33" t="s">
        <v>123</v>
      </c>
      <c r="H46" s="31"/>
    </row>
    <row r="47" spans="1:16" ht="42.75" x14ac:dyDescent="0.25">
      <c r="A47" s="29" t="s">
        <v>82</v>
      </c>
      <c r="B47" s="29" t="s">
        <v>124</v>
      </c>
      <c r="C47" s="29" t="s">
        <v>124</v>
      </c>
      <c r="D47" s="29" t="s">
        <v>124</v>
      </c>
      <c r="E47" s="29" t="s">
        <v>124</v>
      </c>
      <c r="F47" s="29" t="s">
        <v>124</v>
      </c>
      <c r="G47" s="29" t="s">
        <v>124</v>
      </c>
      <c r="H47" s="29" t="s">
        <v>124</v>
      </c>
      <c r="I47" s="34" t="s">
        <v>125</v>
      </c>
      <c r="J47" s="35" t="s">
        <v>126</v>
      </c>
      <c r="K47" s="35" t="s">
        <v>127</v>
      </c>
      <c r="L47" s="36" t="s">
        <v>128</v>
      </c>
      <c r="M47" s="35" t="s">
        <v>129</v>
      </c>
      <c r="N47" s="20" t="s">
        <v>130</v>
      </c>
      <c r="O47" s="37" t="s">
        <v>131</v>
      </c>
    </row>
    <row r="48" spans="1:16" x14ac:dyDescent="0.25">
      <c r="A48" s="38" t="s">
        <v>97</v>
      </c>
      <c r="B48" s="39">
        <v>85900</v>
      </c>
      <c r="C48" s="39">
        <v>306000</v>
      </c>
      <c r="D48" s="39">
        <v>347300</v>
      </c>
      <c r="E48" s="39">
        <v>446700</v>
      </c>
      <c r="F48" s="39">
        <v>63100</v>
      </c>
      <c r="G48" s="40">
        <v>26200</v>
      </c>
      <c r="H48" s="41">
        <v>1275200</v>
      </c>
      <c r="I48" s="42">
        <f>H48/2</f>
        <v>637600</v>
      </c>
      <c r="J48" s="43">
        <f>SUM(B48:D48)</f>
        <v>739200</v>
      </c>
      <c r="K48" s="43">
        <f>SUM(E48:G48)</f>
        <v>536000</v>
      </c>
      <c r="L48" s="21" t="str">
        <f>IF(J48&gt;I48,"TEK87","TEK69")</f>
        <v>TEK87</v>
      </c>
      <c r="M48" s="44">
        <f>IF(J48&gt;K48,(J48-I48)/I48,(K48-I48)/I48)</f>
        <v>0.15934755332496864</v>
      </c>
      <c r="N48" s="21" t="s">
        <v>132</v>
      </c>
      <c r="O48" s="45" t="s">
        <v>328</v>
      </c>
      <c r="P48" s="21"/>
    </row>
    <row r="49" spans="1:16" x14ac:dyDescent="0.25">
      <c r="A49" s="38" t="s">
        <v>98</v>
      </c>
      <c r="B49" s="39">
        <v>762700</v>
      </c>
      <c r="C49" s="39">
        <v>3718600</v>
      </c>
      <c r="D49" s="39">
        <v>6942800</v>
      </c>
      <c r="E49" s="39">
        <v>9319300</v>
      </c>
      <c r="F49" s="39">
        <v>4593000</v>
      </c>
      <c r="G49" s="40">
        <v>1433200</v>
      </c>
      <c r="H49" s="41">
        <v>26769600</v>
      </c>
      <c r="I49" s="42">
        <f t="shared" ref="I49:I58" si="1">H49/2</f>
        <v>13384800</v>
      </c>
      <c r="J49" s="43">
        <f t="shared" ref="J49:J58" si="2">SUM(B49:D49)</f>
        <v>11424100</v>
      </c>
      <c r="K49" s="43">
        <f t="shared" ref="K49:K58" si="3">SUM(E49:G49)</f>
        <v>15345500</v>
      </c>
      <c r="L49" s="21" t="str">
        <f t="shared" ref="L49:L58" si="4">IF(J49&gt;I49,"TEK87","TEK69")</f>
        <v>TEK69</v>
      </c>
      <c r="M49" s="44">
        <f t="shared" ref="M49:M58" si="5">IF(J49&gt;K49,(J49-I49)/I49,(K49-I49)/I49)</f>
        <v>0.1464870599485984</v>
      </c>
      <c r="N49" s="21" t="s">
        <v>133</v>
      </c>
      <c r="O49" s="45" t="s">
        <v>121</v>
      </c>
      <c r="P49" s="21"/>
    </row>
    <row r="50" spans="1:16" x14ac:dyDescent="0.25">
      <c r="A50" s="38" t="s">
        <v>99</v>
      </c>
      <c r="B50" s="39">
        <v>676600</v>
      </c>
      <c r="C50" s="39">
        <v>2720400</v>
      </c>
      <c r="D50" s="39">
        <v>3389900</v>
      </c>
      <c r="E50" s="39">
        <v>4602700</v>
      </c>
      <c r="F50" s="39">
        <v>2242700</v>
      </c>
      <c r="G50" s="40">
        <v>252400</v>
      </c>
      <c r="H50" s="41">
        <v>13884700</v>
      </c>
      <c r="I50" s="42">
        <f t="shared" si="1"/>
        <v>6942350</v>
      </c>
      <c r="J50" s="43">
        <f t="shared" si="2"/>
        <v>6786900</v>
      </c>
      <c r="K50" s="43">
        <f t="shared" si="3"/>
        <v>7097800</v>
      </c>
      <c r="L50" s="21" t="str">
        <f t="shared" si="4"/>
        <v>TEK69</v>
      </c>
      <c r="M50" s="44">
        <f t="shared" si="5"/>
        <v>2.2391553292473009E-2</v>
      </c>
      <c r="N50" s="21" t="s">
        <v>134</v>
      </c>
      <c r="O50" s="45" t="s">
        <v>121</v>
      </c>
      <c r="P50" s="21"/>
    </row>
    <row r="51" spans="1:16" x14ac:dyDescent="0.25">
      <c r="A51" s="38" t="s">
        <v>135</v>
      </c>
      <c r="B51" s="39">
        <v>95200</v>
      </c>
      <c r="C51" s="39">
        <v>351700</v>
      </c>
      <c r="D51" s="39">
        <v>469800</v>
      </c>
      <c r="E51" s="39">
        <v>1010300</v>
      </c>
      <c r="F51" s="39">
        <v>456700</v>
      </c>
      <c r="G51" s="40">
        <v>56600</v>
      </c>
      <c r="H51" s="41">
        <v>2440300</v>
      </c>
      <c r="I51" s="42">
        <f t="shared" si="1"/>
        <v>1220150</v>
      </c>
      <c r="J51" s="43">
        <f t="shared" si="2"/>
        <v>916700</v>
      </c>
      <c r="K51" s="43">
        <f t="shared" si="3"/>
        <v>1523600</v>
      </c>
      <c r="L51" s="21" t="str">
        <f t="shared" si="4"/>
        <v>TEK69</v>
      </c>
      <c r="M51" s="44">
        <f t="shared" si="5"/>
        <v>0.24869893045936975</v>
      </c>
      <c r="N51" s="21" t="s">
        <v>136</v>
      </c>
      <c r="O51" s="45" t="s">
        <v>121</v>
      </c>
      <c r="P51" s="21"/>
    </row>
    <row r="52" spans="1:16" x14ac:dyDescent="0.25">
      <c r="A52" s="38" t="s">
        <v>101</v>
      </c>
      <c r="B52" s="39">
        <v>275800</v>
      </c>
      <c r="C52" s="39">
        <v>1041000</v>
      </c>
      <c r="D52" s="39">
        <v>1140200</v>
      </c>
      <c r="E52" s="39">
        <v>1367200</v>
      </c>
      <c r="F52" s="39">
        <v>759600</v>
      </c>
      <c r="G52" s="40">
        <v>169200</v>
      </c>
      <c r="H52" s="41">
        <v>4753000</v>
      </c>
      <c r="I52" s="42">
        <f t="shared" si="1"/>
        <v>2376500</v>
      </c>
      <c r="J52" s="43">
        <f t="shared" si="2"/>
        <v>2457000</v>
      </c>
      <c r="K52" s="43">
        <f t="shared" si="3"/>
        <v>2296000</v>
      </c>
      <c r="L52" s="21" t="str">
        <f t="shared" si="4"/>
        <v>TEK87</v>
      </c>
      <c r="M52" s="44">
        <f t="shared" si="5"/>
        <v>3.3873343151693665E-2</v>
      </c>
      <c r="N52" s="21" t="s">
        <v>137</v>
      </c>
      <c r="O52" s="45" t="s">
        <v>121</v>
      </c>
      <c r="P52" s="21"/>
    </row>
    <row r="53" spans="1:16" x14ac:dyDescent="0.25">
      <c r="A53" s="38" t="s">
        <v>102</v>
      </c>
      <c r="B53" s="39">
        <v>614400</v>
      </c>
      <c r="C53" s="39">
        <v>1614700</v>
      </c>
      <c r="D53" s="39">
        <v>1300600</v>
      </c>
      <c r="E53" s="39">
        <v>1344300</v>
      </c>
      <c r="F53" s="39">
        <v>319400</v>
      </c>
      <c r="G53" s="40">
        <v>22300</v>
      </c>
      <c r="H53" s="41">
        <v>5215700</v>
      </c>
      <c r="I53" s="42">
        <f t="shared" si="1"/>
        <v>2607850</v>
      </c>
      <c r="J53" s="43">
        <f t="shared" si="2"/>
        <v>3529700</v>
      </c>
      <c r="K53" s="43">
        <f t="shared" si="3"/>
        <v>1686000</v>
      </c>
      <c r="L53" s="21" t="str">
        <f t="shared" si="4"/>
        <v>TEK87</v>
      </c>
      <c r="M53" s="44">
        <f t="shared" si="5"/>
        <v>0.353490423145503</v>
      </c>
      <c r="N53" s="21" t="s">
        <v>136</v>
      </c>
      <c r="O53" s="45" t="s">
        <v>328</v>
      </c>
      <c r="P53" s="21"/>
    </row>
    <row r="54" spans="1:16" x14ac:dyDescent="0.25">
      <c r="A54" s="38" t="s">
        <v>103</v>
      </c>
      <c r="B54" s="39">
        <v>303500</v>
      </c>
      <c r="C54" s="39">
        <v>1097100</v>
      </c>
      <c r="D54" s="39">
        <v>1526800</v>
      </c>
      <c r="E54" s="39">
        <v>1981800</v>
      </c>
      <c r="F54" s="39">
        <v>752800</v>
      </c>
      <c r="G54" s="40">
        <v>52500</v>
      </c>
      <c r="H54" s="41">
        <v>5714500</v>
      </c>
      <c r="I54" s="42">
        <f t="shared" si="1"/>
        <v>2857250</v>
      </c>
      <c r="J54" s="43">
        <f t="shared" si="2"/>
        <v>2927400</v>
      </c>
      <c r="K54" s="43">
        <f t="shared" si="3"/>
        <v>2787100</v>
      </c>
      <c r="L54" s="21" t="str">
        <f t="shared" si="4"/>
        <v>TEK87</v>
      </c>
      <c r="M54" s="44">
        <f t="shared" si="5"/>
        <v>2.455157931577566E-2</v>
      </c>
      <c r="N54" s="21" t="s">
        <v>137</v>
      </c>
      <c r="O54" s="45" t="s">
        <v>121</v>
      </c>
      <c r="P54" s="21"/>
    </row>
    <row r="55" spans="1:16" x14ac:dyDescent="0.25">
      <c r="A55" s="38" t="s">
        <v>104</v>
      </c>
      <c r="B55" s="39">
        <v>93900</v>
      </c>
      <c r="C55" s="39">
        <v>321000</v>
      </c>
      <c r="D55" s="39">
        <v>446800</v>
      </c>
      <c r="E55" s="39">
        <v>1112100</v>
      </c>
      <c r="F55" s="39">
        <v>327800</v>
      </c>
      <c r="G55" s="40">
        <v>21700</v>
      </c>
      <c r="H55" s="41">
        <v>2323300</v>
      </c>
      <c r="I55" s="42">
        <f t="shared" si="1"/>
        <v>1161650</v>
      </c>
      <c r="J55" s="43">
        <f t="shared" si="2"/>
        <v>861700</v>
      </c>
      <c r="K55" s="43">
        <f t="shared" si="3"/>
        <v>1461600</v>
      </c>
      <c r="L55" s="21" t="str">
        <f t="shared" si="4"/>
        <v>TEK69</v>
      </c>
      <c r="M55" s="44">
        <f t="shared" si="5"/>
        <v>0.25821030430852665</v>
      </c>
      <c r="N55" s="21" t="s">
        <v>136</v>
      </c>
      <c r="O55" s="45" t="s">
        <v>121</v>
      </c>
      <c r="P55" s="21"/>
    </row>
    <row r="56" spans="1:16" x14ac:dyDescent="0.25">
      <c r="A56" s="38" t="s">
        <v>105</v>
      </c>
      <c r="B56" s="39">
        <v>1453000</v>
      </c>
      <c r="C56" s="39">
        <v>5112500</v>
      </c>
      <c r="D56" s="39">
        <v>7409200</v>
      </c>
      <c r="E56" s="39">
        <v>11873100</v>
      </c>
      <c r="F56" s="39">
        <v>4060800</v>
      </c>
      <c r="G56" s="40">
        <v>470000</v>
      </c>
      <c r="H56" s="41">
        <v>30378600</v>
      </c>
      <c r="I56" s="42">
        <f t="shared" si="1"/>
        <v>15189300</v>
      </c>
      <c r="J56" s="43">
        <f t="shared" si="2"/>
        <v>13974700</v>
      </c>
      <c r="K56" s="43">
        <f t="shared" si="3"/>
        <v>16403900</v>
      </c>
      <c r="L56" s="21" t="str">
        <f t="shared" si="4"/>
        <v>TEK69</v>
      </c>
      <c r="M56" s="44">
        <f t="shared" si="5"/>
        <v>7.9964185314662289E-2</v>
      </c>
      <c r="N56" s="21" t="s">
        <v>133</v>
      </c>
      <c r="O56" s="45" t="s">
        <v>121</v>
      </c>
      <c r="P56" s="21"/>
    </row>
    <row r="57" spans="1:16" x14ac:dyDescent="0.25">
      <c r="A57" s="38" t="s">
        <v>106</v>
      </c>
      <c r="B57" s="39">
        <v>64300</v>
      </c>
      <c r="C57" s="39">
        <v>392900</v>
      </c>
      <c r="D57" s="39">
        <v>720900</v>
      </c>
      <c r="E57" s="39">
        <v>798200</v>
      </c>
      <c r="F57" s="39">
        <v>386500</v>
      </c>
      <c r="G57" s="40">
        <v>536500</v>
      </c>
      <c r="H57" s="41">
        <v>2899300</v>
      </c>
      <c r="I57" s="42">
        <f t="shared" si="1"/>
        <v>1449650</v>
      </c>
      <c r="J57" s="43">
        <f t="shared" si="2"/>
        <v>1178100</v>
      </c>
      <c r="K57" s="43">
        <f t="shared" si="3"/>
        <v>1721200</v>
      </c>
      <c r="L57" s="21" t="str">
        <f t="shared" si="4"/>
        <v>TEK69</v>
      </c>
      <c r="M57" s="44">
        <f t="shared" si="5"/>
        <v>0.18732107750146587</v>
      </c>
      <c r="N57" s="21" t="s">
        <v>136</v>
      </c>
      <c r="O57" s="45" t="s">
        <v>121</v>
      </c>
      <c r="P57" s="21"/>
    </row>
    <row r="58" spans="1:16" s="51" customFormat="1" x14ac:dyDescent="0.25">
      <c r="A58" s="46" t="s">
        <v>138</v>
      </c>
      <c r="B58" s="47">
        <v>191400</v>
      </c>
      <c r="C58" s="47">
        <v>958300</v>
      </c>
      <c r="D58" s="47">
        <v>2097100</v>
      </c>
      <c r="E58" s="47">
        <v>4165400</v>
      </c>
      <c r="F58" s="47">
        <v>1644900</v>
      </c>
      <c r="G58" s="47">
        <v>650300</v>
      </c>
      <c r="H58" s="48">
        <v>9707400</v>
      </c>
      <c r="I58" s="49">
        <f t="shared" si="1"/>
        <v>4853700</v>
      </c>
      <c r="J58" s="50">
        <f t="shared" si="2"/>
        <v>3246800</v>
      </c>
      <c r="K58" s="50">
        <f t="shared" si="3"/>
        <v>6460600</v>
      </c>
      <c r="L58" s="51" t="str">
        <f t="shared" si="4"/>
        <v>TEK69</v>
      </c>
      <c r="M58" s="44">
        <f t="shared" si="5"/>
        <v>0.33106702103549868</v>
      </c>
      <c r="N58" s="51" t="s">
        <v>136</v>
      </c>
      <c r="O58" s="51" t="s">
        <v>121</v>
      </c>
    </row>
    <row r="59" spans="1:16" x14ac:dyDescent="0.25">
      <c r="A59" s="52" t="s">
        <v>81</v>
      </c>
      <c r="B59" s="53">
        <v>4616700</v>
      </c>
      <c r="C59" s="53">
        <v>17634200</v>
      </c>
      <c r="D59" s="53">
        <v>25791400</v>
      </c>
      <c r="E59" s="53">
        <v>38021100</v>
      </c>
      <c r="F59" s="54">
        <v>15607300</v>
      </c>
      <c r="G59" s="55">
        <v>3690900</v>
      </c>
      <c r="H59" s="56">
        <v>105361600</v>
      </c>
    </row>
    <row r="60" spans="1:16" x14ac:dyDescent="0.25">
      <c r="K60" s="42"/>
    </row>
    <row r="61" spans="1:16" x14ac:dyDescent="0.25">
      <c r="K61" s="42"/>
    </row>
    <row r="62" spans="1:16" x14ac:dyDescent="0.25">
      <c r="A62" s="20" t="s">
        <v>139</v>
      </c>
    </row>
    <row r="63" spans="1:16" x14ac:dyDescent="0.25">
      <c r="A63" s="20"/>
    </row>
    <row r="64" spans="1:16" x14ac:dyDescent="0.25">
      <c r="A64" s="21" t="s">
        <v>140</v>
      </c>
    </row>
    <row r="65" spans="5:9" x14ac:dyDescent="0.25">
      <c r="G65" s="684" t="s">
        <v>141</v>
      </c>
    </row>
    <row r="66" spans="5:9" x14ac:dyDescent="0.25">
      <c r="G66" s="685"/>
    </row>
    <row r="67" spans="5:9" x14ac:dyDescent="0.25">
      <c r="G67" s="685"/>
      <c r="H67" t="s">
        <v>124</v>
      </c>
    </row>
    <row r="69" spans="5:9" x14ac:dyDescent="0.25">
      <c r="G69" s="44">
        <v>0.24</v>
      </c>
      <c r="H69" s="57">
        <v>39804369</v>
      </c>
    </row>
    <row r="70" spans="5:9" x14ac:dyDescent="0.25">
      <c r="E70" s="58">
        <v>42</v>
      </c>
      <c r="G70" s="44">
        <v>0.18</v>
      </c>
      <c r="H70" s="57">
        <v>31139401</v>
      </c>
    </row>
    <row r="71" spans="5:9" x14ac:dyDescent="0.25">
      <c r="E71" s="59" t="s">
        <v>142</v>
      </c>
      <c r="F71" s="21" t="s">
        <v>143</v>
      </c>
      <c r="G71" s="44">
        <v>0.19</v>
      </c>
      <c r="H71" s="57">
        <v>32201810</v>
      </c>
      <c r="I71" s="21" t="s">
        <v>121</v>
      </c>
    </row>
    <row r="72" spans="5:9" x14ac:dyDescent="0.25">
      <c r="E72" s="58">
        <v>39</v>
      </c>
      <c r="G72" s="44">
        <v>0.21</v>
      </c>
      <c r="H72" s="57">
        <v>35392847</v>
      </c>
    </row>
    <row r="73" spans="5:9" x14ac:dyDescent="0.25">
      <c r="G73" s="44">
        <v>0.1</v>
      </c>
      <c r="H73" s="57">
        <v>17162144</v>
      </c>
    </row>
    <row r="74" spans="5:9" x14ac:dyDescent="0.25">
      <c r="G74" s="44">
        <v>0.08</v>
      </c>
      <c r="H74" s="57">
        <v>13305075</v>
      </c>
    </row>
    <row r="75" spans="5:9" x14ac:dyDescent="0.25">
      <c r="G75" s="44"/>
      <c r="H75" s="57"/>
    </row>
    <row r="76" spans="5:9" x14ac:dyDescent="0.25">
      <c r="G76" s="44">
        <v>0.24</v>
      </c>
      <c r="H76" s="57">
        <v>11885090</v>
      </c>
    </row>
    <row r="77" spans="5:9" x14ac:dyDescent="0.25">
      <c r="E77" s="58">
        <v>42</v>
      </c>
      <c r="G77" s="44">
        <v>0.18</v>
      </c>
      <c r="H77" s="57">
        <v>8972351</v>
      </c>
    </row>
    <row r="78" spans="5:9" x14ac:dyDescent="0.25">
      <c r="E78" s="59" t="s">
        <v>142</v>
      </c>
      <c r="F78" s="21" t="s">
        <v>143</v>
      </c>
      <c r="G78" s="44">
        <v>0.17</v>
      </c>
      <c r="H78" s="57">
        <v>8178350</v>
      </c>
      <c r="I78" s="21" t="s">
        <v>121</v>
      </c>
    </row>
    <row r="79" spans="5:9" x14ac:dyDescent="0.25">
      <c r="E79" s="58">
        <v>40</v>
      </c>
      <c r="G79" s="44">
        <v>0.16</v>
      </c>
      <c r="H79" s="57">
        <v>7829019</v>
      </c>
    </row>
    <row r="80" spans="5:9" x14ac:dyDescent="0.25">
      <c r="G80" s="44">
        <v>0.11</v>
      </c>
      <c r="H80" s="57">
        <v>5545337</v>
      </c>
    </row>
    <row r="81" spans="1:33" x14ac:dyDescent="0.25">
      <c r="G81" s="44">
        <v>0.13</v>
      </c>
      <c r="H81" s="57">
        <v>6192880</v>
      </c>
    </row>
    <row r="82" spans="1:33" x14ac:dyDescent="0.25">
      <c r="G82" s="44"/>
      <c r="H82" s="57"/>
    </row>
    <row r="83" spans="1:33" x14ac:dyDescent="0.25">
      <c r="G83" s="44">
        <v>0.27</v>
      </c>
      <c r="H83" s="57">
        <v>11444245</v>
      </c>
    </row>
    <row r="84" spans="1:33" x14ac:dyDescent="0.25">
      <c r="E84" s="58">
        <v>44</v>
      </c>
      <c r="G84" s="44">
        <v>0.17</v>
      </c>
      <c r="H84" s="57">
        <v>7133096</v>
      </c>
    </row>
    <row r="85" spans="1:33" x14ac:dyDescent="0.25">
      <c r="E85" s="59" t="s">
        <v>142</v>
      </c>
      <c r="F85" s="21" t="s">
        <v>143</v>
      </c>
      <c r="G85" s="44">
        <v>0.16</v>
      </c>
      <c r="H85" s="57">
        <v>6739001</v>
      </c>
      <c r="I85" s="21" t="s">
        <v>121</v>
      </c>
    </row>
    <row r="86" spans="1:33" x14ac:dyDescent="0.25">
      <c r="E86" s="58">
        <v>39</v>
      </c>
      <c r="G86" s="44">
        <v>0.1</v>
      </c>
      <c r="H86" s="57">
        <v>4310185</v>
      </c>
    </row>
    <row r="87" spans="1:33" x14ac:dyDescent="0.25">
      <c r="G87" s="44">
        <v>0.1</v>
      </c>
      <c r="H87" s="57">
        <v>4385626</v>
      </c>
    </row>
    <row r="88" spans="1:33" x14ac:dyDescent="0.25">
      <c r="G88" s="44">
        <v>0.19</v>
      </c>
      <c r="H88" s="57">
        <v>8114649</v>
      </c>
    </row>
    <row r="90" spans="1:33" x14ac:dyDescent="0.25">
      <c r="A90" s="21" t="s">
        <v>144</v>
      </c>
    </row>
    <row r="91" spans="1:33" x14ac:dyDescent="0.25">
      <c r="G91" s="20" t="s">
        <v>145</v>
      </c>
      <c r="I91" s="20"/>
      <c r="J91" s="20"/>
      <c r="K91" s="20"/>
      <c r="L91" s="20"/>
      <c r="M91" s="20"/>
      <c r="N91" s="20" t="s">
        <v>146</v>
      </c>
      <c r="O91" s="20"/>
      <c r="P91" s="20"/>
      <c r="Q91" s="20"/>
      <c r="R91" s="20"/>
      <c r="S91" s="20"/>
      <c r="T91" s="20"/>
      <c r="U91" s="21" t="s">
        <v>147</v>
      </c>
      <c r="AB91" s="21" t="s">
        <v>0</v>
      </c>
    </row>
    <row r="92" spans="1:33" ht="28.5" x14ac:dyDescent="0.25">
      <c r="G92" s="20" t="s">
        <v>148</v>
      </c>
      <c r="H92" s="20" t="s">
        <v>149</v>
      </c>
      <c r="I92" s="20" t="s">
        <v>150</v>
      </c>
      <c r="J92" s="20" t="s">
        <v>151</v>
      </c>
      <c r="K92" s="20" t="s">
        <v>152</v>
      </c>
      <c r="L92" s="20" t="s">
        <v>153</v>
      </c>
      <c r="M92" s="20"/>
      <c r="N92" s="20" t="s">
        <v>148</v>
      </c>
      <c r="O92" s="20" t="s">
        <v>149</v>
      </c>
      <c r="P92" s="20" t="s">
        <v>150</v>
      </c>
      <c r="Q92" s="20" t="s">
        <v>151</v>
      </c>
      <c r="R92" s="20" t="s">
        <v>152</v>
      </c>
      <c r="S92" s="20" t="s">
        <v>153</v>
      </c>
      <c r="T92" s="20"/>
      <c r="U92" s="20" t="s">
        <v>148</v>
      </c>
      <c r="V92" s="20" t="s">
        <v>149</v>
      </c>
      <c r="W92" s="20" t="s">
        <v>150</v>
      </c>
      <c r="X92" s="20" t="s">
        <v>151</v>
      </c>
      <c r="Y92" s="20" t="s">
        <v>152</v>
      </c>
      <c r="Z92" s="20" t="s">
        <v>153</v>
      </c>
      <c r="AA92" s="20" t="s">
        <v>81</v>
      </c>
      <c r="AB92" s="34" t="s">
        <v>125</v>
      </c>
      <c r="AC92" s="35" t="s">
        <v>127</v>
      </c>
      <c r="AD92" s="35" t="s">
        <v>126</v>
      </c>
      <c r="AE92" s="60" t="s">
        <v>128</v>
      </c>
      <c r="AF92" s="35" t="s">
        <v>129</v>
      </c>
      <c r="AG92" s="20" t="s">
        <v>130</v>
      </c>
    </row>
    <row r="93" spans="1:33" x14ac:dyDescent="0.25">
      <c r="G93" s="44">
        <v>0.26</v>
      </c>
      <c r="H93" s="44">
        <v>0.36</v>
      </c>
      <c r="I93" s="44">
        <v>0.65</v>
      </c>
      <c r="J93" s="44">
        <v>0.88</v>
      </c>
      <c r="K93" s="44">
        <v>0.96</v>
      </c>
      <c r="L93" s="44">
        <v>1</v>
      </c>
      <c r="N93" s="61">
        <f>H$69*G93</f>
        <v>10349135.939999999</v>
      </c>
      <c r="O93" s="61">
        <f>H$70*H93</f>
        <v>11210184.359999999</v>
      </c>
      <c r="P93" s="61">
        <f>H$71*I93</f>
        <v>20931176.5</v>
      </c>
      <c r="Q93" s="61">
        <f>H$72*J93</f>
        <v>31145705.359999999</v>
      </c>
      <c r="R93" s="61">
        <f>H$73*K93</f>
        <v>16475658.24</v>
      </c>
      <c r="S93" s="61">
        <f>H$74*L93</f>
        <v>13305075</v>
      </c>
      <c r="U93" s="62">
        <f>N93</f>
        <v>10349135.939999999</v>
      </c>
      <c r="V93" s="62">
        <f>O93+SUM(N94:S94)</f>
        <v>13200402.809999999</v>
      </c>
      <c r="W93" s="62">
        <f>P93+SUM(N95:S95)</f>
        <v>26105744.469999999</v>
      </c>
      <c r="X93" s="62">
        <f>Q93+SUM(N96:S96)</f>
        <v>44030773.469999999</v>
      </c>
      <c r="Y93" s="62">
        <f>R93+SUM(N97:S97)</f>
        <v>33861799.960000001</v>
      </c>
      <c r="Z93" s="62">
        <f>S93+SUM(N98:S98)</f>
        <v>41457789.350000001</v>
      </c>
      <c r="AA93" s="62">
        <f>SUM(U93:Z93)</f>
        <v>169005646</v>
      </c>
      <c r="AB93" s="42">
        <f>AA93/2</f>
        <v>84502823</v>
      </c>
      <c r="AC93" s="43">
        <f>SUM(U93:X93)</f>
        <v>93686056.689999998</v>
      </c>
      <c r="AD93" s="43">
        <f>SUM(Y93:Z93)</f>
        <v>75319589.310000002</v>
      </c>
      <c r="AE93" s="21" t="str">
        <f>IF(AC93&gt;AB93,"TEK69","TEK87")</f>
        <v>TEK69</v>
      </c>
      <c r="AF93" s="44">
        <f>IF(AC93&gt;AD93,(AC93-AB93)/AB93,(AD93-AB93)/AB93)</f>
        <v>0.10867369117360727</v>
      </c>
      <c r="AG93" s="21" t="s">
        <v>133</v>
      </c>
    </row>
    <row r="94" spans="1:33" x14ac:dyDescent="0.25">
      <c r="G94" s="44">
        <v>0.05</v>
      </c>
      <c r="H94" s="44">
        <v>0</v>
      </c>
      <c r="I94" s="44">
        <v>0</v>
      </c>
      <c r="J94" s="44">
        <v>0</v>
      </c>
      <c r="K94" s="44">
        <v>0</v>
      </c>
      <c r="L94" s="44">
        <v>0</v>
      </c>
      <c r="N94" s="61">
        <f t="shared" ref="N94:N98" si="6">H$69*G94</f>
        <v>1990218.4500000002</v>
      </c>
      <c r="O94" s="61">
        <f t="shared" ref="O94:O98" si="7">H$70*H94</f>
        <v>0</v>
      </c>
      <c r="P94" s="61">
        <f t="shared" ref="P94:P98" si="8">H$71*I94</f>
        <v>0</v>
      </c>
      <c r="Q94" s="61">
        <f t="shared" ref="Q94:Q98" si="9">H$72*J94</f>
        <v>0</v>
      </c>
      <c r="R94" s="61">
        <f t="shared" ref="R94:R98" si="10">H$73*K94</f>
        <v>0</v>
      </c>
      <c r="S94" s="61">
        <f t="shared" ref="S94:S98" si="11">H$74*L94</f>
        <v>0</v>
      </c>
      <c r="AE94" s="21"/>
    </row>
    <row r="95" spans="1:33" x14ac:dyDescent="0.25">
      <c r="G95" s="44">
        <v>0.13</v>
      </c>
      <c r="H95" s="44">
        <v>0</v>
      </c>
      <c r="I95" s="44">
        <v>0</v>
      </c>
      <c r="J95" s="44">
        <v>0</v>
      </c>
      <c r="K95" s="44">
        <v>0</v>
      </c>
      <c r="L95" s="44">
        <v>0</v>
      </c>
      <c r="N95" s="61">
        <f t="shared" si="6"/>
        <v>5174567.97</v>
      </c>
      <c r="O95" s="61">
        <f t="shared" si="7"/>
        <v>0</v>
      </c>
      <c r="P95" s="61">
        <f t="shared" si="8"/>
        <v>0</v>
      </c>
      <c r="Q95" s="61">
        <f t="shared" si="9"/>
        <v>0</v>
      </c>
      <c r="R95" s="61">
        <f t="shared" si="10"/>
        <v>0</v>
      </c>
      <c r="S95" s="61">
        <f t="shared" si="11"/>
        <v>0</v>
      </c>
      <c r="AE95" s="21"/>
    </row>
    <row r="96" spans="1:33" x14ac:dyDescent="0.25">
      <c r="G96" s="44">
        <v>0.15</v>
      </c>
      <c r="H96" s="44">
        <v>0.16</v>
      </c>
      <c r="I96" s="44">
        <v>0.06</v>
      </c>
      <c r="J96" s="44">
        <v>0</v>
      </c>
      <c r="K96" s="44">
        <v>0</v>
      </c>
      <c r="L96" s="44">
        <v>0</v>
      </c>
      <c r="N96" s="61">
        <f t="shared" si="6"/>
        <v>5970655.3499999996</v>
      </c>
      <c r="O96" s="61">
        <f t="shared" si="7"/>
        <v>4982304.16</v>
      </c>
      <c r="P96" s="61">
        <f t="shared" si="8"/>
        <v>1932108.5999999999</v>
      </c>
      <c r="Q96" s="61">
        <f t="shared" si="9"/>
        <v>0</v>
      </c>
      <c r="R96" s="61">
        <f t="shared" si="10"/>
        <v>0</v>
      </c>
      <c r="S96" s="61">
        <f t="shared" si="11"/>
        <v>0</v>
      </c>
      <c r="AE96" s="21"/>
    </row>
    <row r="97" spans="7:33" x14ac:dyDescent="0.25">
      <c r="G97" s="44">
        <v>0.2</v>
      </c>
      <c r="H97" s="44">
        <v>0.17</v>
      </c>
      <c r="I97" s="44">
        <v>0.09</v>
      </c>
      <c r="J97" s="44">
        <v>0.03</v>
      </c>
      <c r="K97" s="44">
        <v>0.01</v>
      </c>
      <c r="L97" s="44">
        <v>0</v>
      </c>
      <c r="N97" s="61">
        <f t="shared" si="6"/>
        <v>7960873.8000000007</v>
      </c>
      <c r="O97" s="61">
        <f t="shared" si="7"/>
        <v>5293698.17</v>
      </c>
      <c r="P97" s="61">
        <f t="shared" si="8"/>
        <v>2898162.9</v>
      </c>
      <c r="Q97" s="61">
        <f t="shared" si="9"/>
        <v>1061785.4099999999</v>
      </c>
      <c r="R97" s="61">
        <f t="shared" si="10"/>
        <v>171621.44</v>
      </c>
      <c r="S97" s="61">
        <f t="shared" si="11"/>
        <v>0</v>
      </c>
      <c r="AE97" s="21"/>
    </row>
    <row r="98" spans="7:33" x14ac:dyDescent="0.25">
      <c r="G98" s="44">
        <v>0.21</v>
      </c>
      <c r="H98" s="44">
        <v>0.31</v>
      </c>
      <c r="I98" s="44">
        <v>0.2</v>
      </c>
      <c r="J98" s="44">
        <v>0.09</v>
      </c>
      <c r="K98" s="44">
        <v>0.03</v>
      </c>
      <c r="L98" s="44">
        <v>0</v>
      </c>
      <c r="N98" s="61">
        <f t="shared" si="6"/>
        <v>8358917.4899999993</v>
      </c>
      <c r="O98" s="61">
        <f t="shared" si="7"/>
        <v>9653214.3100000005</v>
      </c>
      <c r="P98" s="61">
        <f t="shared" si="8"/>
        <v>6440362</v>
      </c>
      <c r="Q98" s="61">
        <f t="shared" si="9"/>
        <v>3185356.23</v>
      </c>
      <c r="R98" s="61">
        <f t="shared" si="10"/>
        <v>514864.32</v>
      </c>
      <c r="S98" s="61">
        <f t="shared" si="11"/>
        <v>0</v>
      </c>
      <c r="AB98" s="21" t="s">
        <v>154</v>
      </c>
      <c r="AE98" s="21"/>
    </row>
    <row r="99" spans="7:33" ht="28.5" x14ac:dyDescent="0.25">
      <c r="G99" s="44"/>
      <c r="H99" s="44"/>
      <c r="I99" s="44"/>
      <c r="J99" s="44"/>
      <c r="K99" s="44"/>
      <c r="L99" s="44"/>
      <c r="N99" s="61"/>
      <c r="O99" s="61"/>
      <c r="P99" s="61"/>
      <c r="Q99" s="61"/>
      <c r="R99" s="61"/>
      <c r="S99" s="61"/>
      <c r="U99" s="20" t="s">
        <v>148</v>
      </c>
      <c r="V99" s="20" t="s">
        <v>149</v>
      </c>
      <c r="W99" s="20" t="s">
        <v>150</v>
      </c>
      <c r="X99" s="20" t="s">
        <v>151</v>
      </c>
      <c r="Y99" s="20" t="s">
        <v>152</v>
      </c>
      <c r="Z99" s="20" t="s">
        <v>153</v>
      </c>
      <c r="AA99" s="20" t="s">
        <v>81</v>
      </c>
      <c r="AB99" s="34" t="s">
        <v>125</v>
      </c>
      <c r="AC99" s="35" t="s">
        <v>127</v>
      </c>
      <c r="AD99" s="35" t="s">
        <v>126</v>
      </c>
      <c r="AE99" s="36" t="s">
        <v>128</v>
      </c>
      <c r="AF99" s="35" t="s">
        <v>129</v>
      </c>
      <c r="AG99" s="20" t="s">
        <v>130</v>
      </c>
    </row>
    <row r="100" spans="7:33" x14ac:dyDescent="0.25">
      <c r="G100" s="44">
        <v>0.27</v>
      </c>
      <c r="H100" s="44">
        <v>0.34</v>
      </c>
      <c r="I100" s="44">
        <v>0.33</v>
      </c>
      <c r="J100" s="44">
        <v>0.93</v>
      </c>
      <c r="K100" s="44">
        <v>0.97</v>
      </c>
      <c r="L100" s="44">
        <v>1</v>
      </c>
      <c r="N100" s="61">
        <f>H$83*G100</f>
        <v>3089946.1500000004</v>
      </c>
      <c r="O100" s="61">
        <f>H$84*H100</f>
        <v>2425252.64</v>
      </c>
      <c r="P100" s="61">
        <f>H$85*I100</f>
        <v>2223870.33</v>
      </c>
      <c r="Q100" s="61">
        <f>H$86*J100</f>
        <v>4008472.0500000003</v>
      </c>
      <c r="R100" s="61">
        <f>H$87*K100</f>
        <v>4254057.22</v>
      </c>
      <c r="S100" s="61">
        <f>H$88*L100</f>
        <v>8114649</v>
      </c>
      <c r="U100" s="62">
        <f>N100</f>
        <v>3089946.1500000004</v>
      </c>
      <c r="V100" s="62">
        <f>O100+SUM(N101:S101)</f>
        <v>2654137.54</v>
      </c>
      <c r="W100" s="62">
        <f>P100+SUM(N102:S102)</f>
        <v>3597179.73</v>
      </c>
      <c r="X100" s="62">
        <f>Q100+SUM(N103:S103)</f>
        <v>7093475.8900000006</v>
      </c>
      <c r="Y100" s="62">
        <f>R100+SUM(N104:S104)</f>
        <v>9887194.1899999995</v>
      </c>
      <c r="Z100" s="62">
        <f>S100+SUM(N105:S105)</f>
        <v>15603467.940000001</v>
      </c>
      <c r="AA100" s="62">
        <f>SUM(U100:Z100)</f>
        <v>41925401.439999998</v>
      </c>
      <c r="AB100" s="42">
        <f>AA100/2</f>
        <v>20962700.719999999</v>
      </c>
      <c r="AC100" s="43">
        <f>SUM(U100:X100)</f>
        <v>16434739.310000001</v>
      </c>
      <c r="AD100" s="43">
        <f>SUM(Y100:Z100)</f>
        <v>25490662.130000003</v>
      </c>
      <c r="AE100" s="21" t="str">
        <f>IF(AC100&gt;AB100,"TEK69","TEK87")</f>
        <v>TEK87</v>
      </c>
      <c r="AF100" s="44">
        <f>IF(AC100&gt;AD100,(AC100-AB100)/AB100,(AD100-AB100)/AB100)</f>
        <v>0.21600086126688756</v>
      </c>
      <c r="AG100" s="21" t="s">
        <v>136</v>
      </c>
    </row>
    <row r="101" spans="7:33" x14ac:dyDescent="0.25">
      <c r="G101" s="44">
        <v>0.02</v>
      </c>
      <c r="H101" s="44">
        <v>0</v>
      </c>
      <c r="I101" s="44">
        <v>0</v>
      </c>
      <c r="J101" s="44">
        <v>0</v>
      </c>
      <c r="K101" s="44">
        <v>0</v>
      </c>
      <c r="L101" s="44">
        <v>0</v>
      </c>
      <c r="N101" s="61">
        <f t="shared" ref="N101:N105" si="12">H$83*G101</f>
        <v>228884.9</v>
      </c>
      <c r="O101" s="61">
        <f t="shared" ref="O101:O105" si="13">H$84*H101</f>
        <v>0</v>
      </c>
      <c r="P101" s="61">
        <f t="shared" ref="P101:P105" si="14">H$85*I101</f>
        <v>0</v>
      </c>
      <c r="Q101" s="61">
        <f t="shared" ref="Q101:Q105" si="15">H$86*J101</f>
        <v>0</v>
      </c>
      <c r="R101" s="61">
        <f t="shared" ref="R101:R105" si="16">H$87*K101</f>
        <v>0</v>
      </c>
      <c r="S101" s="61">
        <f t="shared" ref="S101:S105" si="17">H$88*L101</f>
        <v>0</v>
      </c>
    </row>
    <row r="102" spans="7:33" x14ac:dyDescent="0.25">
      <c r="G102" s="44">
        <v>0.12</v>
      </c>
      <c r="H102" s="44">
        <v>0</v>
      </c>
      <c r="I102" s="44">
        <v>0</v>
      </c>
      <c r="J102" s="44">
        <v>0</v>
      </c>
      <c r="K102" s="44">
        <v>0</v>
      </c>
      <c r="L102" s="44">
        <v>0</v>
      </c>
      <c r="N102" s="61">
        <f t="shared" si="12"/>
        <v>1373309.4</v>
      </c>
      <c r="O102" s="61">
        <f t="shared" si="13"/>
        <v>0</v>
      </c>
      <c r="P102" s="61">
        <f t="shared" si="14"/>
        <v>0</v>
      </c>
      <c r="Q102" s="61">
        <f t="shared" si="15"/>
        <v>0</v>
      </c>
      <c r="R102" s="61">
        <f t="shared" si="16"/>
        <v>0</v>
      </c>
      <c r="S102" s="61">
        <f t="shared" si="17"/>
        <v>0</v>
      </c>
    </row>
    <row r="103" spans="7:33" x14ac:dyDescent="0.25">
      <c r="G103" s="44">
        <v>0.12</v>
      </c>
      <c r="H103" s="44">
        <v>0.13</v>
      </c>
      <c r="I103" s="44">
        <v>0.11</v>
      </c>
      <c r="J103" s="44">
        <v>0.01</v>
      </c>
      <c r="K103" s="44">
        <v>0</v>
      </c>
      <c r="L103" s="44">
        <v>0</v>
      </c>
      <c r="N103" s="61">
        <f t="shared" si="12"/>
        <v>1373309.4</v>
      </c>
      <c r="O103" s="61">
        <f t="shared" si="13"/>
        <v>927302.48</v>
      </c>
      <c r="P103" s="61">
        <f t="shared" si="14"/>
        <v>741290.11</v>
      </c>
      <c r="Q103" s="61">
        <f t="shared" si="15"/>
        <v>43101.85</v>
      </c>
      <c r="R103" s="61">
        <f t="shared" si="16"/>
        <v>0</v>
      </c>
      <c r="S103" s="61">
        <f t="shared" si="17"/>
        <v>0</v>
      </c>
    </row>
    <row r="104" spans="7:33" x14ac:dyDescent="0.25">
      <c r="G104" s="44">
        <v>0.2</v>
      </c>
      <c r="H104" s="44">
        <v>0.28999999999999998</v>
      </c>
      <c r="I104" s="44">
        <v>0.17</v>
      </c>
      <c r="J104" s="44">
        <v>0.02</v>
      </c>
      <c r="K104" s="44">
        <v>0.01</v>
      </c>
      <c r="L104" s="44">
        <v>0</v>
      </c>
      <c r="N104" s="61">
        <f t="shared" si="12"/>
        <v>2288849</v>
      </c>
      <c r="O104" s="61">
        <f t="shared" si="13"/>
        <v>2068597.8399999999</v>
      </c>
      <c r="P104" s="61">
        <f t="shared" si="14"/>
        <v>1145630.1700000002</v>
      </c>
      <c r="Q104" s="61">
        <f t="shared" si="15"/>
        <v>86203.7</v>
      </c>
      <c r="R104" s="61">
        <f t="shared" si="16"/>
        <v>43856.26</v>
      </c>
      <c r="S104" s="61">
        <f t="shared" si="17"/>
        <v>0</v>
      </c>
    </row>
    <row r="105" spans="7:33" x14ac:dyDescent="0.25">
      <c r="G105" s="44">
        <v>0.26</v>
      </c>
      <c r="H105" s="44">
        <v>0.24</v>
      </c>
      <c r="I105" s="44">
        <v>0.39</v>
      </c>
      <c r="J105" s="44">
        <v>0.03</v>
      </c>
      <c r="K105" s="44">
        <v>0.01</v>
      </c>
      <c r="L105" s="44">
        <v>0</v>
      </c>
      <c r="N105" s="61">
        <f t="shared" si="12"/>
        <v>2975503.7</v>
      </c>
      <c r="O105" s="61">
        <f t="shared" si="13"/>
        <v>1711943.04</v>
      </c>
      <c r="P105" s="61">
        <f t="shared" si="14"/>
        <v>2628210.39</v>
      </c>
      <c r="Q105" s="61">
        <f t="shared" si="15"/>
        <v>129305.54999999999</v>
      </c>
      <c r="R105" s="61">
        <f t="shared" si="16"/>
        <v>43856.26</v>
      </c>
      <c r="S105" s="61">
        <f t="shared" si="17"/>
        <v>0</v>
      </c>
      <c r="AB105" s="21" t="s">
        <v>11</v>
      </c>
    </row>
    <row r="106" spans="7:33" ht="28.5" x14ac:dyDescent="0.25">
      <c r="G106" s="44"/>
      <c r="H106" s="44"/>
      <c r="I106" s="44"/>
      <c r="J106" s="44"/>
      <c r="K106" s="44"/>
      <c r="L106" s="44"/>
      <c r="N106" s="61"/>
      <c r="O106" s="61"/>
      <c r="P106" s="61"/>
      <c r="Q106" s="61"/>
      <c r="R106" s="61"/>
      <c r="S106" s="61"/>
      <c r="U106" s="20" t="s">
        <v>148</v>
      </c>
      <c r="V106" s="20" t="s">
        <v>149</v>
      </c>
      <c r="W106" s="20" t="s">
        <v>150</v>
      </c>
      <c r="X106" s="20" t="s">
        <v>151</v>
      </c>
      <c r="Y106" s="20" t="s">
        <v>152</v>
      </c>
      <c r="Z106" s="20" t="s">
        <v>153</v>
      </c>
      <c r="AA106" s="20" t="s">
        <v>81</v>
      </c>
      <c r="AB106" s="34" t="s">
        <v>125</v>
      </c>
      <c r="AC106" s="35" t="s">
        <v>127</v>
      </c>
      <c r="AD106" s="35" t="s">
        <v>126</v>
      </c>
      <c r="AE106" s="36" t="s">
        <v>128</v>
      </c>
      <c r="AF106" s="35" t="s">
        <v>129</v>
      </c>
      <c r="AG106" s="20" t="s">
        <v>130</v>
      </c>
    </row>
    <row r="107" spans="7:33" x14ac:dyDescent="0.25">
      <c r="G107" s="44">
        <v>0.18</v>
      </c>
      <c r="H107" s="44">
        <v>0.32</v>
      </c>
      <c r="I107" s="44">
        <v>0.44</v>
      </c>
      <c r="J107" s="44">
        <v>0.95</v>
      </c>
      <c r="K107" s="44">
        <v>0.97</v>
      </c>
      <c r="L107" s="44">
        <v>1</v>
      </c>
      <c r="N107" s="61">
        <f>H$76*G107</f>
        <v>2139316.1999999997</v>
      </c>
      <c r="O107" s="61">
        <f>H$77*H107</f>
        <v>2871152.32</v>
      </c>
      <c r="P107" s="61">
        <f>H$78*I107</f>
        <v>3598474</v>
      </c>
      <c r="Q107" s="61">
        <f>H$79*J107</f>
        <v>7437568.0499999998</v>
      </c>
      <c r="R107" s="61">
        <f>H$80*K107</f>
        <v>5378976.8899999997</v>
      </c>
      <c r="S107" s="61">
        <f>H$81*L107</f>
        <v>6192880</v>
      </c>
      <c r="U107" s="62">
        <f>N107</f>
        <v>2139316.1999999997</v>
      </c>
      <c r="V107" s="62">
        <f>O107+SUM(N108:S108)</f>
        <v>3227705.02</v>
      </c>
      <c r="W107" s="62">
        <f>P107+SUM(N109:S109)</f>
        <v>4966430.0199999996</v>
      </c>
      <c r="X107" s="62">
        <f>Q107+SUM(N110:S110)</f>
        <v>12189480.76</v>
      </c>
      <c r="Y107" s="62">
        <f>R107+SUM(N111:S111)</f>
        <v>11312926</v>
      </c>
      <c r="Z107" s="62">
        <f>S107+SUM(N112:S112)</f>
        <v>14848952.499999998</v>
      </c>
      <c r="AA107" s="62">
        <f>SUM(U107:Z107)</f>
        <v>48684810.5</v>
      </c>
      <c r="AB107" s="42">
        <f>AA107/2</f>
        <v>24342405.25</v>
      </c>
      <c r="AC107" s="43">
        <f>SUM(U107:X107)</f>
        <v>22522932</v>
      </c>
      <c r="AD107" s="43">
        <f>SUM(Y107:Z107)</f>
        <v>26161878.5</v>
      </c>
      <c r="AE107" s="21" t="str">
        <f>IF(AC107&gt;AB107,"TEK69","TEK87")</f>
        <v>TEK87</v>
      </c>
      <c r="AF107" s="44">
        <f>IF(AC107&gt;AD107,(AC107-AB107)/AB107,(AD107-AB107)/AB107)</f>
        <v>7.4745006966803335E-2</v>
      </c>
      <c r="AG107" s="21" t="s">
        <v>132</v>
      </c>
    </row>
    <row r="108" spans="7:33" x14ac:dyDescent="0.25">
      <c r="G108" s="44">
        <v>0.03</v>
      </c>
      <c r="H108" s="44">
        <v>0</v>
      </c>
      <c r="I108" s="44">
        <v>0</v>
      </c>
      <c r="J108" s="44">
        <v>0</v>
      </c>
      <c r="K108" s="44">
        <v>0</v>
      </c>
      <c r="L108" s="44">
        <v>0</v>
      </c>
      <c r="N108" s="61">
        <f t="shared" ref="N108:N112" si="18">H$76*G108</f>
        <v>356552.7</v>
      </c>
      <c r="O108" s="61">
        <f t="shared" ref="O108:O112" si="19">H$77*H108</f>
        <v>0</v>
      </c>
      <c r="P108" s="61">
        <f t="shared" ref="P108:P112" si="20">H$78*I108</f>
        <v>0</v>
      </c>
      <c r="Q108" s="61">
        <f t="shared" ref="Q108:Q112" si="21">H$79*J108</f>
        <v>0</v>
      </c>
      <c r="R108" s="61">
        <f t="shared" ref="R108:R112" si="22">H$80*K108</f>
        <v>0</v>
      </c>
      <c r="S108" s="61">
        <f t="shared" ref="S108:S112" si="23">H$81*L108</f>
        <v>0</v>
      </c>
    </row>
    <row r="109" spans="7:33" x14ac:dyDescent="0.25">
      <c r="G109" s="44">
        <v>0.1</v>
      </c>
      <c r="H109" s="44">
        <v>0.02</v>
      </c>
      <c r="I109" s="44">
        <v>0</v>
      </c>
      <c r="J109" s="44">
        <v>0</v>
      </c>
      <c r="K109" s="44">
        <v>0</v>
      </c>
      <c r="L109" s="44">
        <v>0</v>
      </c>
      <c r="N109" s="61">
        <f t="shared" si="18"/>
        <v>1188509</v>
      </c>
      <c r="O109" s="61">
        <f t="shared" si="19"/>
        <v>179447.02</v>
      </c>
      <c r="P109" s="61">
        <f t="shared" si="20"/>
        <v>0</v>
      </c>
      <c r="Q109" s="61">
        <f t="shared" si="21"/>
        <v>0</v>
      </c>
      <c r="R109" s="61">
        <f t="shared" si="22"/>
        <v>0</v>
      </c>
      <c r="S109" s="61">
        <f t="shared" si="23"/>
        <v>0</v>
      </c>
    </row>
    <row r="110" spans="7:33" x14ac:dyDescent="0.25">
      <c r="G110" s="44">
        <v>0.2</v>
      </c>
      <c r="H110" s="44">
        <v>0.21</v>
      </c>
      <c r="I110" s="44">
        <v>0.06</v>
      </c>
      <c r="J110" s="44">
        <v>0</v>
      </c>
      <c r="K110" s="44">
        <v>0</v>
      </c>
      <c r="L110" s="44">
        <v>0</v>
      </c>
      <c r="N110" s="61">
        <f t="shared" si="18"/>
        <v>2377018</v>
      </c>
      <c r="O110" s="61">
        <f t="shared" si="19"/>
        <v>1884193.71</v>
      </c>
      <c r="P110" s="61">
        <f t="shared" si="20"/>
        <v>490701</v>
      </c>
      <c r="Q110" s="61">
        <f t="shared" si="21"/>
        <v>0</v>
      </c>
      <c r="R110" s="61">
        <f t="shared" si="22"/>
        <v>0</v>
      </c>
      <c r="S110" s="61">
        <f t="shared" si="23"/>
        <v>0</v>
      </c>
    </row>
    <row r="111" spans="7:33" x14ac:dyDescent="0.25">
      <c r="G111" s="44">
        <v>0.21</v>
      </c>
      <c r="H111" s="44">
        <v>0.21</v>
      </c>
      <c r="I111" s="44">
        <v>0.19</v>
      </c>
      <c r="J111" s="44">
        <v>0</v>
      </c>
      <c r="K111" s="44">
        <v>0</v>
      </c>
      <c r="L111" s="44">
        <v>0</v>
      </c>
      <c r="N111" s="61">
        <f t="shared" si="18"/>
        <v>2495868.9</v>
      </c>
      <c r="O111" s="61">
        <f t="shared" si="19"/>
        <v>1884193.71</v>
      </c>
      <c r="P111" s="61">
        <f t="shared" si="20"/>
        <v>1553886.5</v>
      </c>
      <c r="Q111" s="61">
        <f t="shared" si="21"/>
        <v>0</v>
      </c>
      <c r="R111" s="61">
        <f t="shared" si="22"/>
        <v>0</v>
      </c>
      <c r="S111" s="61">
        <f t="shared" si="23"/>
        <v>0</v>
      </c>
    </row>
    <row r="112" spans="7:33" x14ac:dyDescent="0.25">
      <c r="G112" s="44">
        <v>0.28000000000000003</v>
      </c>
      <c r="H112" s="44">
        <v>0.24</v>
      </c>
      <c r="I112" s="44">
        <v>0.32</v>
      </c>
      <c r="J112" s="44">
        <v>0.05</v>
      </c>
      <c r="K112" s="44">
        <v>0.03</v>
      </c>
      <c r="L112" s="44">
        <v>0</v>
      </c>
      <c r="N112" s="61">
        <f t="shared" si="18"/>
        <v>3327825.2</v>
      </c>
      <c r="O112" s="61">
        <f t="shared" si="19"/>
        <v>2153364.2399999998</v>
      </c>
      <c r="P112" s="61">
        <f t="shared" si="20"/>
        <v>2617072</v>
      </c>
      <c r="Q112" s="61">
        <f t="shared" si="21"/>
        <v>391450.95</v>
      </c>
      <c r="R112" s="61">
        <f t="shared" si="22"/>
        <v>166360.10999999999</v>
      </c>
      <c r="S112" s="61">
        <f t="shared" si="23"/>
        <v>0</v>
      </c>
    </row>
    <row r="114" spans="7:33" x14ac:dyDescent="0.25">
      <c r="G114" s="20" t="s">
        <v>155</v>
      </c>
      <c r="H114" s="20"/>
      <c r="I114" s="20"/>
      <c r="J114" s="20"/>
      <c r="K114" s="20"/>
      <c r="L114" s="20"/>
      <c r="M114" s="20"/>
      <c r="N114" s="20" t="s">
        <v>155</v>
      </c>
      <c r="O114" s="20"/>
      <c r="P114" s="20"/>
      <c r="Q114" s="20"/>
      <c r="R114" s="20"/>
      <c r="S114" s="20"/>
      <c r="T114" s="20"/>
      <c r="U114" s="21" t="s">
        <v>156</v>
      </c>
      <c r="AB114" s="21" t="s">
        <v>0</v>
      </c>
    </row>
    <row r="115" spans="7:33" ht="28.5" x14ac:dyDescent="0.25">
      <c r="G115" s="20" t="s">
        <v>148</v>
      </c>
      <c r="H115" s="20" t="s">
        <v>149</v>
      </c>
      <c r="I115" s="20" t="s">
        <v>150</v>
      </c>
      <c r="J115" s="20" t="s">
        <v>151</v>
      </c>
      <c r="K115" s="20" t="s">
        <v>152</v>
      </c>
      <c r="L115" s="20" t="s">
        <v>153</v>
      </c>
      <c r="M115" s="20"/>
      <c r="N115" s="20" t="s">
        <v>148</v>
      </c>
      <c r="O115" s="20" t="s">
        <v>149</v>
      </c>
      <c r="P115" s="20" t="s">
        <v>150</v>
      </c>
      <c r="Q115" s="20" t="s">
        <v>151</v>
      </c>
      <c r="R115" s="20" t="s">
        <v>152</v>
      </c>
      <c r="S115" s="20" t="s">
        <v>153</v>
      </c>
      <c r="T115" s="20"/>
      <c r="U115" s="20" t="s">
        <v>148</v>
      </c>
      <c r="V115" s="20" t="s">
        <v>149</v>
      </c>
      <c r="W115" s="20" t="s">
        <v>150</v>
      </c>
      <c r="X115" s="20" t="s">
        <v>151</v>
      </c>
      <c r="Y115" s="20" t="s">
        <v>152</v>
      </c>
      <c r="Z115" s="20" t="s">
        <v>153</v>
      </c>
      <c r="AA115" s="20" t="s">
        <v>81</v>
      </c>
      <c r="AB115" s="34" t="s">
        <v>125</v>
      </c>
      <c r="AC115" s="35" t="s">
        <v>127</v>
      </c>
      <c r="AD115" s="35" t="s">
        <v>126</v>
      </c>
      <c r="AE115" s="36" t="s">
        <v>128</v>
      </c>
      <c r="AF115" s="35" t="s">
        <v>129</v>
      </c>
      <c r="AG115" s="20" t="s">
        <v>130</v>
      </c>
    </row>
    <row r="116" spans="7:33" x14ac:dyDescent="0.25">
      <c r="G116" s="44">
        <v>0.36</v>
      </c>
      <c r="H116" s="44">
        <v>0.68</v>
      </c>
      <c r="I116" s="44">
        <v>0.94</v>
      </c>
      <c r="J116" s="44">
        <v>0.97</v>
      </c>
      <c r="K116" s="44">
        <v>0.99</v>
      </c>
      <c r="L116" s="44">
        <v>1</v>
      </c>
      <c r="N116" s="61">
        <f>H$69*G116</f>
        <v>14329572.84</v>
      </c>
      <c r="O116" s="61">
        <f>H$70*H116</f>
        <v>21174792.68</v>
      </c>
      <c r="P116" s="61">
        <f>H$71*I116</f>
        <v>30269701.399999999</v>
      </c>
      <c r="Q116" s="61">
        <f>H$72*J116</f>
        <v>34331061.589999996</v>
      </c>
      <c r="R116" s="61">
        <f>H$73*K116</f>
        <v>16990522.559999999</v>
      </c>
      <c r="S116" s="61">
        <f>H$74*L116</f>
        <v>13305075</v>
      </c>
      <c r="U116" s="62">
        <f>N116</f>
        <v>14329572.84</v>
      </c>
      <c r="V116" s="62">
        <f>O116+SUM(N117:S117)</f>
        <v>21970880.059999999</v>
      </c>
      <c r="W116" s="62">
        <f>P116+SUM(N118:S118)</f>
        <v>33765444.93</v>
      </c>
      <c r="X116" s="62">
        <f>Q116+SUM(N119:S119)</f>
        <v>40997198.109999999</v>
      </c>
      <c r="Y116" s="62">
        <f>R116+SUM(N120:S120)</f>
        <v>28838556.799999997</v>
      </c>
      <c r="Z116" s="62">
        <f>S116+SUM(N121:S121)</f>
        <v>30177983.520000003</v>
      </c>
      <c r="AA116" s="62">
        <f>SUM(U116:Z116)</f>
        <v>170079636.26000002</v>
      </c>
      <c r="AB116" s="42">
        <f>AA116/2</f>
        <v>85039818.13000001</v>
      </c>
      <c r="AC116" s="43">
        <f>SUM(U116:X116)</f>
        <v>111063095.94</v>
      </c>
      <c r="AD116" s="43">
        <f>SUM(Y116:Z116)</f>
        <v>59016540.32</v>
      </c>
      <c r="AE116" s="21" t="str">
        <f>IF(AC116&gt;AB116,"TEK69","TEK87")</f>
        <v>TEK69</v>
      </c>
      <c r="AF116" s="44">
        <f>IF(AC116&gt;AD116,(AC116-AB116)/AB116,(AD116-AB116)/AB116)</f>
        <v>0.30601285823798813</v>
      </c>
      <c r="AG116" s="21" t="s">
        <v>136</v>
      </c>
    </row>
    <row r="117" spans="7:33" x14ac:dyDescent="0.25">
      <c r="G117" s="44">
        <v>0.02</v>
      </c>
      <c r="H117" s="44">
        <v>0</v>
      </c>
      <c r="I117" s="44">
        <v>0</v>
      </c>
      <c r="J117" s="44">
        <v>0</v>
      </c>
      <c r="K117" s="44">
        <v>0</v>
      </c>
      <c r="L117" s="44">
        <v>0</v>
      </c>
      <c r="N117" s="61">
        <f t="shared" ref="N117:N121" si="24">H$69*G117</f>
        <v>796087.38</v>
      </c>
      <c r="O117" s="61">
        <f t="shared" ref="O117:O121" si="25">H$70*H117</f>
        <v>0</v>
      </c>
      <c r="P117" s="61">
        <f t="shared" ref="P117:P121" si="26">H$71*I117</f>
        <v>0</v>
      </c>
      <c r="Q117" s="61">
        <f t="shared" ref="Q117:Q121" si="27">H$72*J117</f>
        <v>0</v>
      </c>
      <c r="R117" s="61">
        <f t="shared" ref="R117:R121" si="28">H$73*K117</f>
        <v>0</v>
      </c>
      <c r="S117" s="61">
        <f t="shared" ref="S117:S121" si="29">H$74*L117</f>
        <v>0</v>
      </c>
    </row>
    <row r="118" spans="7:33" x14ac:dyDescent="0.25">
      <c r="G118" s="44">
        <v>0.08</v>
      </c>
      <c r="H118" s="44">
        <v>0.01</v>
      </c>
      <c r="I118" s="44">
        <v>0</v>
      </c>
      <c r="J118" s="44">
        <v>0</v>
      </c>
      <c r="K118" s="44">
        <v>0</v>
      </c>
      <c r="L118" s="44">
        <v>0</v>
      </c>
      <c r="N118" s="61">
        <f t="shared" si="24"/>
        <v>3184349.52</v>
      </c>
      <c r="O118" s="61">
        <f t="shared" si="25"/>
        <v>311394.01</v>
      </c>
      <c r="P118" s="61">
        <f t="shared" si="26"/>
        <v>0</v>
      </c>
      <c r="Q118" s="61">
        <f t="shared" si="27"/>
        <v>0</v>
      </c>
      <c r="R118" s="61">
        <f t="shared" si="28"/>
        <v>0</v>
      </c>
      <c r="S118" s="61">
        <f t="shared" si="29"/>
        <v>0</v>
      </c>
    </row>
    <row r="119" spans="7:33" x14ac:dyDescent="0.25">
      <c r="G119" s="44">
        <v>0.12</v>
      </c>
      <c r="H119" s="44">
        <v>0.04</v>
      </c>
      <c r="I119" s="44">
        <v>0.02</v>
      </c>
      <c r="J119" s="44">
        <v>0</v>
      </c>
      <c r="K119" s="44">
        <v>0</v>
      </c>
      <c r="L119" s="44">
        <v>0</v>
      </c>
      <c r="N119" s="61">
        <f t="shared" si="24"/>
        <v>4776524.28</v>
      </c>
      <c r="O119" s="61">
        <f t="shared" si="25"/>
        <v>1245576.04</v>
      </c>
      <c r="P119" s="61">
        <f t="shared" si="26"/>
        <v>644036.20000000007</v>
      </c>
      <c r="Q119" s="61">
        <f t="shared" si="27"/>
        <v>0</v>
      </c>
      <c r="R119" s="61">
        <f t="shared" si="28"/>
        <v>0</v>
      </c>
      <c r="S119" s="61">
        <f t="shared" si="29"/>
        <v>0</v>
      </c>
    </row>
    <row r="120" spans="7:33" x14ac:dyDescent="0.25">
      <c r="G120" s="44">
        <v>0.21</v>
      </c>
      <c r="H120" s="44">
        <v>0.08</v>
      </c>
      <c r="I120" s="44">
        <v>0.02</v>
      </c>
      <c r="J120" s="44">
        <v>0.01</v>
      </c>
      <c r="K120" s="44">
        <v>0</v>
      </c>
      <c r="L120" s="44">
        <v>0</v>
      </c>
      <c r="N120" s="61">
        <f t="shared" si="24"/>
        <v>8358917.4899999993</v>
      </c>
      <c r="O120" s="61">
        <f t="shared" si="25"/>
        <v>2491152.08</v>
      </c>
      <c r="P120" s="61">
        <f t="shared" si="26"/>
        <v>644036.20000000007</v>
      </c>
      <c r="Q120" s="61">
        <f t="shared" si="27"/>
        <v>353928.47000000003</v>
      </c>
      <c r="R120" s="61">
        <f t="shared" si="28"/>
        <v>0</v>
      </c>
      <c r="S120" s="61">
        <f t="shared" si="29"/>
        <v>0</v>
      </c>
    </row>
    <row r="121" spans="7:33" x14ac:dyDescent="0.25">
      <c r="G121" s="44">
        <v>0.22</v>
      </c>
      <c r="H121" s="44">
        <v>0.19</v>
      </c>
      <c r="I121" s="44">
        <v>0.03</v>
      </c>
      <c r="J121" s="44">
        <v>0.03</v>
      </c>
      <c r="K121" s="44">
        <v>0.01</v>
      </c>
      <c r="L121" s="44">
        <v>0</v>
      </c>
      <c r="N121" s="61">
        <f t="shared" si="24"/>
        <v>8756961.1799999997</v>
      </c>
      <c r="O121" s="61">
        <f t="shared" si="25"/>
        <v>5916486.1900000004</v>
      </c>
      <c r="P121" s="61">
        <f t="shared" si="26"/>
        <v>966054.29999999993</v>
      </c>
      <c r="Q121" s="61">
        <f t="shared" si="27"/>
        <v>1061785.4099999999</v>
      </c>
      <c r="R121" s="61">
        <f t="shared" si="28"/>
        <v>171621.44</v>
      </c>
      <c r="S121" s="61">
        <f t="shared" si="29"/>
        <v>0</v>
      </c>
      <c r="AB121" s="21" t="s">
        <v>154</v>
      </c>
    </row>
    <row r="122" spans="7:33" ht="28.5" x14ac:dyDescent="0.25">
      <c r="G122" s="44"/>
      <c r="H122" s="44"/>
      <c r="I122" s="44"/>
      <c r="J122" s="44"/>
      <c r="K122" s="44"/>
      <c r="L122" s="44"/>
      <c r="N122" s="61"/>
      <c r="O122" s="61"/>
      <c r="P122" s="61"/>
      <c r="Q122" s="61"/>
      <c r="R122" s="61"/>
      <c r="S122" s="61"/>
      <c r="U122" s="20" t="s">
        <v>148</v>
      </c>
      <c r="V122" s="20" t="s">
        <v>149</v>
      </c>
      <c r="W122" s="20" t="s">
        <v>150</v>
      </c>
      <c r="X122" s="20" t="s">
        <v>151</v>
      </c>
      <c r="Y122" s="20" t="s">
        <v>152</v>
      </c>
      <c r="Z122" s="20" t="s">
        <v>153</v>
      </c>
      <c r="AA122" s="20" t="s">
        <v>81</v>
      </c>
      <c r="AB122" s="34" t="s">
        <v>125</v>
      </c>
      <c r="AC122" s="35" t="s">
        <v>127</v>
      </c>
      <c r="AD122" s="35" t="s">
        <v>126</v>
      </c>
      <c r="AE122" s="36" t="s">
        <v>128</v>
      </c>
      <c r="AF122" s="35" t="s">
        <v>129</v>
      </c>
      <c r="AG122" s="20" t="s">
        <v>130</v>
      </c>
    </row>
    <row r="123" spans="7:33" x14ac:dyDescent="0.25">
      <c r="G123" s="44">
        <v>0.56999999999999995</v>
      </c>
      <c r="H123" s="44">
        <v>0.63</v>
      </c>
      <c r="I123" s="44">
        <v>0.76</v>
      </c>
      <c r="J123" s="44">
        <v>0.95</v>
      </c>
      <c r="K123" s="44">
        <v>1</v>
      </c>
      <c r="L123" s="44">
        <v>1</v>
      </c>
      <c r="N123" s="61">
        <f>H$83*G123</f>
        <v>6523219.6499999994</v>
      </c>
      <c r="O123" s="61">
        <f>H$84*H123</f>
        <v>4493850.4800000004</v>
      </c>
      <c r="P123" s="61">
        <f>H$85*I123</f>
        <v>5121640.76</v>
      </c>
      <c r="Q123" s="61">
        <f>H$86*J123</f>
        <v>4094675.75</v>
      </c>
      <c r="R123" s="61">
        <f>H$87*K123</f>
        <v>4385626</v>
      </c>
      <c r="S123" s="61">
        <f>H$88*L123</f>
        <v>8114649</v>
      </c>
      <c r="U123" s="62">
        <f>N123</f>
        <v>6523219.6499999994</v>
      </c>
      <c r="V123" s="62">
        <f>O123+SUM(N124:S124)</f>
        <v>4493850.4800000004</v>
      </c>
      <c r="W123" s="62">
        <f>P123+SUM(N125:S125)</f>
        <v>5579410.5599999996</v>
      </c>
      <c r="X123" s="62">
        <f>Q123+SUM(N126:S126)</f>
        <v>6051960.2799999993</v>
      </c>
      <c r="Y123" s="62">
        <f>R123+SUM(N127:S127)</f>
        <v>8067130.25</v>
      </c>
      <c r="Z123" s="62">
        <f>S123+SUM(N128:S128)</f>
        <v>11411230.780000001</v>
      </c>
      <c r="AA123" s="62">
        <f>SUM(U123:Z123)</f>
        <v>42126802</v>
      </c>
      <c r="AB123" s="42">
        <f>AA123/2</f>
        <v>21063401</v>
      </c>
      <c r="AC123" s="43">
        <f>SUM(U123:X123)</f>
        <v>22648440.969999999</v>
      </c>
      <c r="AD123" s="43">
        <f>SUM(Y123:Z123)</f>
        <v>19478361.030000001</v>
      </c>
      <c r="AE123" s="21" t="str">
        <f>IF(AC123&gt;AB123,"TEK69","TEK87")</f>
        <v>TEK69</v>
      </c>
      <c r="AF123" s="44">
        <f>IF(AC123&gt;AD123,(AC123-AB123)/AB123,(AD123-AB123)/AB123)</f>
        <v>7.5250904163102567E-2</v>
      </c>
      <c r="AG123" s="21" t="s">
        <v>133</v>
      </c>
    </row>
    <row r="124" spans="7:33" x14ac:dyDescent="0.25">
      <c r="G124" s="44">
        <v>0</v>
      </c>
      <c r="H124" s="44">
        <v>0</v>
      </c>
      <c r="I124" s="44">
        <v>0</v>
      </c>
      <c r="J124" s="44">
        <v>0</v>
      </c>
      <c r="K124" s="44">
        <v>0</v>
      </c>
      <c r="L124" s="44">
        <v>0</v>
      </c>
      <c r="N124" s="61">
        <f t="shared" ref="N124:N128" si="30">H$83*G124</f>
        <v>0</v>
      </c>
      <c r="O124" s="61">
        <f t="shared" ref="O124:O128" si="31">H$84*H124</f>
        <v>0</v>
      </c>
      <c r="P124" s="61">
        <f t="shared" ref="P124:P128" si="32">H$85*I124</f>
        <v>0</v>
      </c>
      <c r="Q124" s="61">
        <f t="shared" ref="Q124:Q128" si="33">H$86*J124</f>
        <v>0</v>
      </c>
      <c r="R124" s="61">
        <f t="shared" ref="R124:R128" si="34">H$87*K124</f>
        <v>0</v>
      </c>
      <c r="S124" s="61">
        <f t="shared" ref="S124:S128" si="35">H$88*L124</f>
        <v>0</v>
      </c>
    </row>
    <row r="125" spans="7:33" x14ac:dyDescent="0.25">
      <c r="G125" s="44">
        <v>0.04</v>
      </c>
      <c r="H125" s="44">
        <v>0</v>
      </c>
      <c r="I125" s="44">
        <v>0</v>
      </c>
      <c r="J125" s="44">
        <v>0</v>
      </c>
      <c r="K125" s="44">
        <v>0</v>
      </c>
      <c r="L125" s="44">
        <v>0</v>
      </c>
      <c r="N125" s="61">
        <f t="shared" si="30"/>
        <v>457769.8</v>
      </c>
      <c r="O125" s="61">
        <f t="shared" si="31"/>
        <v>0</v>
      </c>
      <c r="P125" s="61">
        <f t="shared" si="32"/>
        <v>0</v>
      </c>
      <c r="Q125" s="61">
        <f t="shared" si="33"/>
        <v>0</v>
      </c>
      <c r="R125" s="61">
        <f t="shared" si="34"/>
        <v>0</v>
      </c>
      <c r="S125" s="61">
        <f t="shared" si="35"/>
        <v>0</v>
      </c>
    </row>
    <row r="126" spans="7:33" x14ac:dyDescent="0.25">
      <c r="G126" s="44">
        <v>0.09</v>
      </c>
      <c r="H126" s="44">
        <v>0.13</v>
      </c>
      <c r="I126" s="44">
        <v>0</v>
      </c>
      <c r="J126" s="44">
        <v>0</v>
      </c>
      <c r="K126" s="44">
        <v>0</v>
      </c>
      <c r="L126" s="44">
        <v>0</v>
      </c>
      <c r="N126" s="61">
        <f t="shared" si="30"/>
        <v>1029982.0499999999</v>
      </c>
      <c r="O126" s="61">
        <f t="shared" si="31"/>
        <v>927302.48</v>
      </c>
      <c r="P126" s="61">
        <f t="shared" si="32"/>
        <v>0</v>
      </c>
      <c r="Q126" s="61">
        <f t="shared" si="33"/>
        <v>0</v>
      </c>
      <c r="R126" s="61">
        <f t="shared" si="34"/>
        <v>0</v>
      </c>
      <c r="S126" s="61">
        <f t="shared" si="35"/>
        <v>0</v>
      </c>
    </row>
    <row r="127" spans="7:33" x14ac:dyDescent="0.25">
      <c r="G127" s="44">
        <v>0.17</v>
      </c>
      <c r="H127" s="44">
        <v>0.13</v>
      </c>
      <c r="I127" s="44">
        <v>0.12</v>
      </c>
      <c r="J127" s="44">
        <v>0</v>
      </c>
      <c r="K127" s="44">
        <v>0</v>
      </c>
      <c r="L127" s="44">
        <v>0</v>
      </c>
      <c r="N127" s="61">
        <f t="shared" si="30"/>
        <v>1945521.6500000001</v>
      </c>
      <c r="O127" s="61">
        <f t="shared" si="31"/>
        <v>927302.48</v>
      </c>
      <c r="P127" s="61">
        <f t="shared" si="32"/>
        <v>808680.12</v>
      </c>
      <c r="Q127" s="61">
        <f t="shared" si="33"/>
        <v>0</v>
      </c>
      <c r="R127" s="61">
        <f t="shared" si="34"/>
        <v>0</v>
      </c>
      <c r="S127" s="61">
        <f t="shared" si="35"/>
        <v>0</v>
      </c>
    </row>
    <row r="128" spans="7:33" x14ac:dyDescent="0.25">
      <c r="G128" s="44">
        <v>0.13</v>
      </c>
      <c r="H128" s="44">
        <v>0.11</v>
      </c>
      <c r="I128" s="44">
        <v>0.12</v>
      </c>
      <c r="J128" s="44">
        <v>0.05</v>
      </c>
      <c r="K128" s="44">
        <v>0</v>
      </c>
      <c r="L128" s="44">
        <v>0</v>
      </c>
      <c r="N128" s="61">
        <f t="shared" si="30"/>
        <v>1487751.85</v>
      </c>
      <c r="O128" s="61">
        <f t="shared" si="31"/>
        <v>784640.56</v>
      </c>
      <c r="P128" s="61">
        <f t="shared" si="32"/>
        <v>808680.12</v>
      </c>
      <c r="Q128" s="61">
        <f t="shared" si="33"/>
        <v>215509.25</v>
      </c>
      <c r="R128" s="61">
        <f t="shared" si="34"/>
        <v>0</v>
      </c>
      <c r="S128" s="61">
        <f t="shared" si="35"/>
        <v>0</v>
      </c>
      <c r="AB128" s="21" t="s">
        <v>11</v>
      </c>
    </row>
    <row r="129" spans="7:33" ht="28.5" x14ac:dyDescent="0.25">
      <c r="G129" s="44"/>
      <c r="H129" s="44"/>
      <c r="I129" s="44"/>
      <c r="J129" s="44"/>
      <c r="K129" s="44"/>
      <c r="L129" s="44"/>
      <c r="N129" s="61"/>
      <c r="O129" s="61"/>
      <c r="P129" s="61"/>
      <c r="Q129" s="61"/>
      <c r="R129" s="61"/>
      <c r="S129" s="61"/>
      <c r="U129" s="20" t="s">
        <v>148</v>
      </c>
      <c r="V129" s="20" t="s">
        <v>149</v>
      </c>
      <c r="W129" s="20" t="s">
        <v>150</v>
      </c>
      <c r="X129" s="20" t="s">
        <v>151</v>
      </c>
      <c r="Y129" s="20" t="s">
        <v>152</v>
      </c>
      <c r="Z129" s="20" t="s">
        <v>153</v>
      </c>
      <c r="AA129" s="20" t="s">
        <v>81</v>
      </c>
      <c r="AB129" s="34" t="s">
        <v>125</v>
      </c>
      <c r="AC129" s="35" t="s">
        <v>127</v>
      </c>
      <c r="AD129" s="35" t="s">
        <v>126</v>
      </c>
      <c r="AE129" s="36" t="s">
        <v>128</v>
      </c>
      <c r="AF129" s="35" t="s">
        <v>129</v>
      </c>
      <c r="AG129" s="20" t="s">
        <v>130</v>
      </c>
    </row>
    <row r="130" spans="7:33" x14ac:dyDescent="0.25">
      <c r="G130" s="44">
        <v>0.4</v>
      </c>
      <c r="H130" s="44">
        <v>0.7</v>
      </c>
      <c r="I130" s="44">
        <v>0.88</v>
      </c>
      <c r="J130" s="44">
        <v>1</v>
      </c>
      <c r="K130" s="44">
        <v>1</v>
      </c>
      <c r="L130" s="44">
        <v>1</v>
      </c>
      <c r="N130" s="61">
        <f>H$76*G130</f>
        <v>4754036</v>
      </c>
      <c r="O130" s="61">
        <f>H$77*H130</f>
        <v>6280645.6999999993</v>
      </c>
      <c r="P130" s="61">
        <f>H$78*I130</f>
        <v>7196948</v>
      </c>
      <c r="Q130" s="61">
        <f>H$79*J130</f>
        <v>7829019</v>
      </c>
      <c r="R130" s="61">
        <f>H$80*K130</f>
        <v>5545337</v>
      </c>
      <c r="S130" s="61">
        <f>H$81*L130</f>
        <v>6192880</v>
      </c>
      <c r="U130" s="62">
        <f>N130</f>
        <v>4754036</v>
      </c>
      <c r="V130" s="62">
        <f>O130+SUM(N131:S131)</f>
        <v>6874900.1999999993</v>
      </c>
      <c r="W130" s="62">
        <f>P130+SUM(N132:S132)</f>
        <v>8028904.2999999998</v>
      </c>
      <c r="X130" s="62">
        <f>Q130+SUM(N133:S133)</f>
        <v>9645592.5700000003</v>
      </c>
      <c r="Y130" s="62">
        <f>R130+SUM(N134:S134)</f>
        <v>8916962.3099999987</v>
      </c>
      <c r="Z130" s="62">
        <f>S130+SUM(N135:S135)</f>
        <v>10382631.620000001</v>
      </c>
      <c r="AA130" s="62">
        <f>SUM(U130:Z130)</f>
        <v>48603027</v>
      </c>
      <c r="AB130" s="42">
        <f>AA130/2</f>
        <v>24301513.5</v>
      </c>
      <c r="AC130" s="43">
        <f>SUM(U130:X130)</f>
        <v>29303433.07</v>
      </c>
      <c r="AD130" s="43">
        <f>SUM(Y130:Z130)</f>
        <v>19299593.93</v>
      </c>
      <c r="AE130" s="21" t="str">
        <f>IF(AC130&gt;AB130,"TEK69","TEK87")</f>
        <v>TEK69</v>
      </c>
      <c r="AF130" s="44">
        <f>IF(AC130&gt;AD130,(AC130-AB130)/AB130,(AD130-AB130)/AB130)</f>
        <v>0.20582749177330048</v>
      </c>
      <c r="AG130" s="21" t="s">
        <v>136</v>
      </c>
    </row>
    <row r="131" spans="7:33" x14ac:dyDescent="0.25">
      <c r="G131" s="44">
        <v>0.05</v>
      </c>
      <c r="H131" s="44">
        <v>0</v>
      </c>
      <c r="I131" s="44">
        <v>0</v>
      </c>
      <c r="J131" s="44">
        <v>0</v>
      </c>
      <c r="K131" s="44">
        <v>0</v>
      </c>
      <c r="L131" s="44">
        <v>0</v>
      </c>
      <c r="N131" s="61">
        <f t="shared" ref="N131:N135" si="36">H$76*G131</f>
        <v>594254.5</v>
      </c>
      <c r="O131" s="61">
        <f t="shared" ref="O131:O135" si="37">H$77*H131</f>
        <v>0</v>
      </c>
      <c r="P131" s="61">
        <f t="shared" ref="P131:P135" si="38">H$78*I131</f>
        <v>0</v>
      </c>
      <c r="Q131" s="61">
        <f t="shared" ref="Q131:Q135" si="39">H$79*J131</f>
        <v>0</v>
      </c>
      <c r="R131" s="61">
        <f t="shared" ref="R131:R135" si="40">H$80*K131</f>
        <v>0</v>
      </c>
      <c r="S131" s="61">
        <f t="shared" ref="S131:S135" si="41">H$81*L131</f>
        <v>0</v>
      </c>
    </row>
    <row r="132" spans="7:33" x14ac:dyDescent="0.25">
      <c r="G132" s="44">
        <v>7.0000000000000007E-2</v>
      </c>
      <c r="H132" s="44">
        <v>0</v>
      </c>
      <c r="I132" s="44">
        <v>0</v>
      </c>
      <c r="J132" s="44">
        <v>0</v>
      </c>
      <c r="K132" s="44">
        <v>0</v>
      </c>
      <c r="L132" s="44">
        <v>0</v>
      </c>
      <c r="N132" s="61">
        <f t="shared" si="36"/>
        <v>831956.3</v>
      </c>
      <c r="O132" s="61">
        <f t="shared" si="37"/>
        <v>0</v>
      </c>
      <c r="P132" s="61">
        <f t="shared" si="38"/>
        <v>0</v>
      </c>
      <c r="Q132" s="61">
        <f t="shared" si="39"/>
        <v>0</v>
      </c>
      <c r="R132" s="61">
        <f t="shared" si="40"/>
        <v>0</v>
      </c>
      <c r="S132" s="61">
        <f t="shared" si="41"/>
        <v>0</v>
      </c>
    </row>
    <row r="133" spans="7:33" x14ac:dyDescent="0.25">
      <c r="G133" s="44">
        <v>0.1</v>
      </c>
      <c r="H133" s="44">
        <v>7.0000000000000007E-2</v>
      </c>
      <c r="I133" s="44">
        <v>0</v>
      </c>
      <c r="J133" s="44">
        <v>0</v>
      </c>
      <c r="K133" s="44">
        <v>0</v>
      </c>
      <c r="L133" s="44">
        <v>0</v>
      </c>
      <c r="N133" s="61">
        <f t="shared" si="36"/>
        <v>1188509</v>
      </c>
      <c r="O133" s="61">
        <f t="shared" si="37"/>
        <v>628064.57000000007</v>
      </c>
      <c r="P133" s="61">
        <f t="shared" si="38"/>
        <v>0</v>
      </c>
      <c r="Q133" s="61">
        <f t="shared" si="39"/>
        <v>0</v>
      </c>
      <c r="R133" s="61">
        <f t="shared" si="40"/>
        <v>0</v>
      </c>
      <c r="S133" s="61">
        <f t="shared" si="41"/>
        <v>0</v>
      </c>
    </row>
    <row r="134" spans="7:33" x14ac:dyDescent="0.25">
      <c r="G134" s="44">
        <v>0.18</v>
      </c>
      <c r="H134" s="44">
        <v>0.11</v>
      </c>
      <c r="I134" s="44">
        <v>0.03</v>
      </c>
      <c r="J134" s="44">
        <v>0</v>
      </c>
      <c r="K134" s="44">
        <v>0</v>
      </c>
      <c r="L134" s="44">
        <v>0</v>
      </c>
      <c r="N134" s="61">
        <f t="shared" si="36"/>
        <v>2139316.1999999997</v>
      </c>
      <c r="O134" s="61">
        <f t="shared" si="37"/>
        <v>986958.61</v>
      </c>
      <c r="P134" s="61">
        <f t="shared" si="38"/>
        <v>245350.5</v>
      </c>
      <c r="Q134" s="61">
        <f t="shared" si="39"/>
        <v>0</v>
      </c>
      <c r="R134" s="61">
        <f t="shared" si="40"/>
        <v>0</v>
      </c>
      <c r="S134" s="61">
        <f t="shared" si="41"/>
        <v>0</v>
      </c>
    </row>
    <row r="135" spans="7:33" x14ac:dyDescent="0.25">
      <c r="G135" s="44">
        <v>0.2</v>
      </c>
      <c r="H135" s="44">
        <v>0.12</v>
      </c>
      <c r="I135" s="44">
        <v>0.09</v>
      </c>
      <c r="J135" s="44">
        <v>0</v>
      </c>
      <c r="K135" s="44">
        <v>0</v>
      </c>
      <c r="L135" s="44">
        <v>0</v>
      </c>
      <c r="N135" s="61">
        <f t="shared" si="36"/>
        <v>2377018</v>
      </c>
      <c r="O135" s="61">
        <f t="shared" si="37"/>
        <v>1076682.1199999999</v>
      </c>
      <c r="P135" s="61">
        <f t="shared" si="38"/>
        <v>736051.5</v>
      </c>
      <c r="Q135" s="61">
        <f t="shared" si="39"/>
        <v>0</v>
      </c>
      <c r="R135" s="61">
        <f t="shared" si="40"/>
        <v>0</v>
      </c>
      <c r="S135" s="61">
        <f t="shared" si="41"/>
        <v>0</v>
      </c>
    </row>
    <row r="137" spans="7:33" x14ac:dyDescent="0.25">
      <c r="G137" s="20" t="s">
        <v>157</v>
      </c>
      <c r="H137" s="20"/>
      <c r="I137" s="20"/>
      <c r="J137" s="20"/>
      <c r="K137" s="20"/>
      <c r="L137" s="20"/>
      <c r="M137" s="20"/>
      <c r="N137" s="20" t="s">
        <v>157</v>
      </c>
      <c r="O137" s="20"/>
      <c r="P137" s="20"/>
      <c r="Q137" s="20"/>
      <c r="R137" s="20"/>
      <c r="S137" s="20"/>
      <c r="U137" s="21" t="s">
        <v>158</v>
      </c>
      <c r="AB137" s="21" t="s">
        <v>0</v>
      </c>
    </row>
    <row r="138" spans="7:33" ht="28.5" x14ac:dyDescent="0.25">
      <c r="G138" s="20" t="s">
        <v>148</v>
      </c>
      <c r="H138" s="20" t="s">
        <v>149</v>
      </c>
      <c r="I138" s="20" t="s">
        <v>150</v>
      </c>
      <c r="J138" s="20" t="s">
        <v>151</v>
      </c>
      <c r="K138" s="20" t="s">
        <v>152</v>
      </c>
      <c r="L138" s="20" t="s">
        <v>153</v>
      </c>
      <c r="M138" s="20"/>
      <c r="N138" s="20" t="s">
        <v>148</v>
      </c>
      <c r="O138" s="20" t="s">
        <v>149</v>
      </c>
      <c r="P138" s="20" t="s">
        <v>150</v>
      </c>
      <c r="Q138" s="20" t="s">
        <v>151</v>
      </c>
      <c r="R138" s="20" t="s">
        <v>152</v>
      </c>
      <c r="S138" s="20" t="s">
        <v>153</v>
      </c>
      <c r="U138" s="20" t="s">
        <v>148</v>
      </c>
      <c r="V138" s="20" t="s">
        <v>149</v>
      </c>
      <c r="W138" s="20" t="s">
        <v>150</v>
      </c>
      <c r="X138" s="20" t="s">
        <v>151</v>
      </c>
      <c r="Y138" s="20" t="s">
        <v>152</v>
      </c>
      <c r="Z138" s="20" t="s">
        <v>153</v>
      </c>
      <c r="AA138" s="20" t="s">
        <v>81</v>
      </c>
      <c r="AB138" s="34" t="s">
        <v>125</v>
      </c>
      <c r="AC138" s="35" t="s">
        <v>127</v>
      </c>
      <c r="AD138" s="35" t="s">
        <v>126</v>
      </c>
      <c r="AE138" s="36" t="s">
        <v>128</v>
      </c>
      <c r="AF138" s="35" t="s">
        <v>129</v>
      </c>
      <c r="AG138" s="20" t="s">
        <v>130</v>
      </c>
    </row>
    <row r="139" spans="7:33" x14ac:dyDescent="0.25">
      <c r="G139" s="44">
        <v>0.45</v>
      </c>
      <c r="H139" s="44">
        <v>0.56000000000000005</v>
      </c>
      <c r="I139" s="44">
        <v>0.8</v>
      </c>
      <c r="J139" s="44">
        <v>0.86</v>
      </c>
      <c r="K139" s="44">
        <v>0.91</v>
      </c>
      <c r="L139" s="44">
        <v>1</v>
      </c>
      <c r="N139" s="61">
        <f>H$69*G139</f>
        <v>17911966.050000001</v>
      </c>
      <c r="O139" s="61">
        <f>H$70*H139</f>
        <v>17438064.560000002</v>
      </c>
      <c r="P139" s="61">
        <f>H$71*I139</f>
        <v>25761448</v>
      </c>
      <c r="Q139" s="61">
        <f>H$72*J139</f>
        <v>30437848.419999998</v>
      </c>
      <c r="R139" s="61">
        <f>H$73*K139</f>
        <v>15617551.040000001</v>
      </c>
      <c r="S139" s="61">
        <f>H$74*L139</f>
        <v>13305075</v>
      </c>
      <c r="U139" s="62">
        <f>N139</f>
        <v>17911966.050000001</v>
      </c>
      <c r="V139" s="62">
        <f>O139+SUM(N140:S140)</f>
        <v>18632195.630000003</v>
      </c>
      <c r="W139" s="62">
        <f>P139+SUM(N141:S141)</f>
        <v>27665016.77</v>
      </c>
      <c r="X139" s="62">
        <f>Q139+SUM(N142:S142)</f>
        <v>39561607.789999999</v>
      </c>
      <c r="Y139" s="62">
        <f>R139+SUM(N143:S143)</f>
        <v>28125994.560000002</v>
      </c>
      <c r="Z139" s="62">
        <f>S139+SUM(N144:S144)</f>
        <v>37430883.299999997</v>
      </c>
      <c r="AA139" s="62">
        <f>SUM(U139:Z139)</f>
        <v>169327664.10000002</v>
      </c>
      <c r="AB139" s="42">
        <f>AA139/2</f>
        <v>84663832.050000012</v>
      </c>
      <c r="AC139" s="43">
        <f>SUM(U139:X139)</f>
        <v>103770786.24000001</v>
      </c>
      <c r="AD139" s="43">
        <f>SUM(Y139:Z139)</f>
        <v>65556877.859999999</v>
      </c>
      <c r="AE139" s="21" t="str">
        <f>IF(AC139&gt;AB139,"TEK69","TEK87")</f>
        <v>TEK69</v>
      </c>
      <c r="AF139" s="44">
        <f>IF(AC139&gt;AD139,(AC139-AB139)/AB139,(AD139-AB139)/AB139)</f>
        <v>0.22568024299580466</v>
      </c>
      <c r="AG139" s="21" t="s">
        <v>136</v>
      </c>
    </row>
    <row r="140" spans="7:33" x14ac:dyDescent="0.25">
      <c r="G140" s="44">
        <v>0.03</v>
      </c>
      <c r="H140" s="44">
        <v>0</v>
      </c>
      <c r="I140" s="44">
        <v>0</v>
      </c>
      <c r="J140" s="44">
        <v>0</v>
      </c>
      <c r="K140" s="44">
        <v>0</v>
      </c>
      <c r="L140" s="44">
        <v>0</v>
      </c>
      <c r="N140" s="61">
        <f t="shared" ref="N140:N144" si="42">H$69*G140</f>
        <v>1194131.07</v>
      </c>
      <c r="O140" s="61">
        <f t="shared" ref="O140:O144" si="43">H$70*H140</f>
        <v>0</v>
      </c>
      <c r="P140" s="61">
        <f t="shared" ref="P140:P144" si="44">H$71*I140</f>
        <v>0</v>
      </c>
      <c r="Q140" s="61">
        <f t="shared" ref="Q140:Q144" si="45">H$72*J140</f>
        <v>0</v>
      </c>
      <c r="R140" s="61">
        <f t="shared" ref="R140:R144" si="46">H$73*K140</f>
        <v>0</v>
      </c>
      <c r="S140" s="61">
        <f t="shared" ref="S140:S144" si="47">H$74*L140</f>
        <v>0</v>
      </c>
    </row>
    <row r="141" spans="7:33" x14ac:dyDescent="0.25">
      <c r="G141" s="44">
        <v>0.04</v>
      </c>
      <c r="H141" s="44">
        <v>0.01</v>
      </c>
      <c r="I141" s="44">
        <v>0</v>
      </c>
      <c r="J141" s="44">
        <v>0</v>
      </c>
      <c r="K141" s="44">
        <v>0</v>
      </c>
      <c r="L141" s="44">
        <v>0</v>
      </c>
      <c r="N141" s="61">
        <f t="shared" si="42"/>
        <v>1592174.76</v>
      </c>
      <c r="O141" s="61">
        <f t="shared" si="43"/>
        <v>311394.01</v>
      </c>
      <c r="P141" s="61">
        <f t="shared" si="44"/>
        <v>0</v>
      </c>
      <c r="Q141" s="61">
        <f t="shared" si="45"/>
        <v>0</v>
      </c>
      <c r="R141" s="61">
        <f t="shared" si="46"/>
        <v>0</v>
      </c>
      <c r="S141" s="61">
        <f t="shared" si="47"/>
        <v>0</v>
      </c>
    </row>
    <row r="142" spans="7:33" x14ac:dyDescent="0.25">
      <c r="G142" s="44">
        <v>0.11</v>
      </c>
      <c r="H142" s="44">
        <v>0.08</v>
      </c>
      <c r="I142" s="44">
        <v>7.0000000000000007E-2</v>
      </c>
      <c r="J142" s="44">
        <v>0</v>
      </c>
      <c r="K142" s="44">
        <v>0</v>
      </c>
      <c r="L142" s="44">
        <v>0</v>
      </c>
      <c r="N142" s="61">
        <f t="shared" si="42"/>
        <v>4378480.59</v>
      </c>
      <c r="O142" s="61">
        <f t="shared" si="43"/>
        <v>2491152.08</v>
      </c>
      <c r="P142" s="61">
        <f t="shared" si="44"/>
        <v>2254126.7000000002</v>
      </c>
      <c r="Q142" s="61">
        <f t="shared" si="45"/>
        <v>0</v>
      </c>
      <c r="R142" s="61">
        <f t="shared" si="46"/>
        <v>0</v>
      </c>
      <c r="S142" s="61">
        <f t="shared" si="47"/>
        <v>0</v>
      </c>
    </row>
    <row r="143" spans="7:33" x14ac:dyDescent="0.25">
      <c r="G143" s="44">
        <v>0.16</v>
      </c>
      <c r="H143" s="44">
        <v>0.1</v>
      </c>
      <c r="I143" s="44">
        <v>0.05</v>
      </c>
      <c r="J143" s="44">
        <v>0.04</v>
      </c>
      <c r="K143" s="44">
        <v>0</v>
      </c>
      <c r="L143" s="44">
        <v>0</v>
      </c>
      <c r="N143" s="61">
        <f t="shared" si="42"/>
        <v>6368699.04</v>
      </c>
      <c r="O143" s="61">
        <f t="shared" si="43"/>
        <v>3113940.1</v>
      </c>
      <c r="P143" s="61">
        <f t="shared" si="44"/>
        <v>1610090.5</v>
      </c>
      <c r="Q143" s="61">
        <f t="shared" si="45"/>
        <v>1415713.8800000001</v>
      </c>
      <c r="R143" s="61">
        <f t="shared" si="46"/>
        <v>0</v>
      </c>
      <c r="S143" s="61">
        <f t="shared" si="47"/>
        <v>0</v>
      </c>
    </row>
    <row r="144" spans="7:33" x14ac:dyDescent="0.25">
      <c r="G144" s="44">
        <v>0.21</v>
      </c>
      <c r="H144" s="44">
        <v>0.25</v>
      </c>
      <c r="I144" s="44">
        <v>0.09</v>
      </c>
      <c r="J144" s="44">
        <v>0.1</v>
      </c>
      <c r="K144" s="44">
        <v>0.09</v>
      </c>
      <c r="L144" s="44">
        <v>0</v>
      </c>
      <c r="N144" s="61">
        <f t="shared" si="42"/>
        <v>8358917.4899999993</v>
      </c>
      <c r="O144" s="61">
        <f t="shared" si="43"/>
        <v>7784850.25</v>
      </c>
      <c r="P144" s="61">
        <f t="shared" si="44"/>
        <v>2898162.9</v>
      </c>
      <c r="Q144" s="61">
        <f t="shared" si="45"/>
        <v>3539284.7</v>
      </c>
      <c r="R144" s="61">
        <f t="shared" si="46"/>
        <v>1544592.96</v>
      </c>
      <c r="S144" s="61">
        <f t="shared" si="47"/>
        <v>0</v>
      </c>
      <c r="AB144" s="21" t="s">
        <v>154</v>
      </c>
    </row>
    <row r="145" spans="7:33" ht="28.5" x14ac:dyDescent="0.25">
      <c r="G145" s="44"/>
      <c r="H145" s="44"/>
      <c r="I145" s="44"/>
      <c r="J145" s="44"/>
      <c r="K145" s="44"/>
      <c r="L145" s="44"/>
      <c r="N145" s="61"/>
      <c r="O145" s="61"/>
      <c r="P145" s="61"/>
      <c r="Q145" s="61"/>
      <c r="R145" s="61"/>
      <c r="S145" s="61"/>
      <c r="U145" s="20" t="s">
        <v>148</v>
      </c>
      <c r="V145" s="20" t="s">
        <v>149</v>
      </c>
      <c r="W145" s="20" t="s">
        <v>150</v>
      </c>
      <c r="X145" s="20" t="s">
        <v>151</v>
      </c>
      <c r="Y145" s="20" t="s">
        <v>152</v>
      </c>
      <c r="Z145" s="20" t="s">
        <v>153</v>
      </c>
      <c r="AA145" s="20" t="s">
        <v>81</v>
      </c>
      <c r="AB145" s="34" t="s">
        <v>125</v>
      </c>
      <c r="AC145" s="35" t="s">
        <v>127</v>
      </c>
      <c r="AD145" s="35" t="s">
        <v>126</v>
      </c>
      <c r="AE145" s="36" t="s">
        <v>128</v>
      </c>
      <c r="AF145" s="35" t="s">
        <v>129</v>
      </c>
      <c r="AG145" s="20" t="s">
        <v>130</v>
      </c>
    </row>
    <row r="146" spans="7:33" x14ac:dyDescent="0.25">
      <c r="G146" s="44">
        <v>0.65</v>
      </c>
      <c r="H146" s="44">
        <v>0.71</v>
      </c>
      <c r="I146" s="44">
        <v>0.94</v>
      </c>
      <c r="J146" s="44">
        <v>0.94</v>
      </c>
      <c r="K146" s="44">
        <v>1</v>
      </c>
      <c r="L146" s="44">
        <v>1</v>
      </c>
      <c r="N146" s="61">
        <f>H$83*G146</f>
        <v>7438759.25</v>
      </c>
      <c r="O146" s="61">
        <f>H$84*H146</f>
        <v>5064498.16</v>
      </c>
      <c r="P146" s="61">
        <f>H$85*I146</f>
        <v>6334660.9399999995</v>
      </c>
      <c r="Q146" s="61">
        <f>H$86*J146</f>
        <v>4051573.9</v>
      </c>
      <c r="R146" s="61">
        <f>H$87*K146</f>
        <v>4385626</v>
      </c>
      <c r="S146" s="61">
        <f>H$88*L146</f>
        <v>8114649</v>
      </c>
      <c r="U146" s="62">
        <f>N146</f>
        <v>7438759.25</v>
      </c>
      <c r="V146" s="62">
        <f>O146+SUM(N147:S147)</f>
        <v>5064498.16</v>
      </c>
      <c r="W146" s="62">
        <f>P146+SUM(N148:S148)</f>
        <v>6677988.2899999991</v>
      </c>
      <c r="X146" s="62">
        <f>Q146+SUM(N149:S149)</f>
        <v>4623786.1500000004</v>
      </c>
      <c r="Y146" s="62">
        <f>R146+SUM(N150:S150)</f>
        <v>6614906.9199999999</v>
      </c>
      <c r="Z146" s="62">
        <f>S146+SUM(N151:S151)</f>
        <v>11706863.23</v>
      </c>
      <c r="AA146" s="62">
        <f>SUM(U146:Z146)</f>
        <v>42126802</v>
      </c>
      <c r="AB146" s="42">
        <f>AA146/2</f>
        <v>21063401</v>
      </c>
      <c r="AC146" s="43">
        <f>SUM(U146:X146)</f>
        <v>23805031.850000001</v>
      </c>
      <c r="AD146" s="43">
        <f>SUM(Y146:Z146)</f>
        <v>18321770.149999999</v>
      </c>
      <c r="AE146" s="21" t="str">
        <f>IF(AC146&gt;AB146,"TEK69","TEK87")</f>
        <v>TEK69</v>
      </c>
      <c r="AF146" s="44">
        <f>IF(AC146&gt;AD146,(AC146-AB146)/AB146,(AD146-AB146)/AB146)</f>
        <v>0.13016088190126568</v>
      </c>
      <c r="AG146" s="21" t="s">
        <v>133</v>
      </c>
    </row>
    <row r="147" spans="7:33" x14ac:dyDescent="0.25">
      <c r="G147" s="44">
        <v>0</v>
      </c>
      <c r="H147" s="44">
        <v>0</v>
      </c>
      <c r="I147" s="44">
        <v>0</v>
      </c>
      <c r="J147" s="44">
        <v>0</v>
      </c>
      <c r="K147" s="44">
        <v>0</v>
      </c>
      <c r="L147" s="44">
        <v>0</v>
      </c>
      <c r="N147" s="61">
        <f t="shared" ref="N147:N151" si="48">H$83*G147</f>
        <v>0</v>
      </c>
      <c r="O147" s="61">
        <f t="shared" ref="O147:O151" si="49">H$84*H147</f>
        <v>0</v>
      </c>
      <c r="P147" s="61">
        <f t="shared" ref="P147:P151" si="50">H$85*I147</f>
        <v>0</v>
      </c>
      <c r="Q147" s="61">
        <f t="shared" ref="Q147:Q151" si="51">H$86*J147</f>
        <v>0</v>
      </c>
      <c r="R147" s="61">
        <f t="shared" ref="R147:R151" si="52">H$87*K147</f>
        <v>0</v>
      </c>
      <c r="S147" s="61">
        <f t="shared" ref="S147:S151" si="53">H$88*L147</f>
        <v>0</v>
      </c>
    </row>
    <row r="148" spans="7:33" x14ac:dyDescent="0.25">
      <c r="G148" s="44">
        <v>0.03</v>
      </c>
      <c r="H148" s="44">
        <v>0</v>
      </c>
      <c r="I148" s="44">
        <v>0</v>
      </c>
      <c r="J148" s="44">
        <v>0</v>
      </c>
      <c r="K148" s="44">
        <v>0</v>
      </c>
      <c r="L148" s="44">
        <v>0</v>
      </c>
      <c r="N148" s="61">
        <f t="shared" si="48"/>
        <v>343327.35</v>
      </c>
      <c r="O148" s="61">
        <f t="shared" si="49"/>
        <v>0</v>
      </c>
      <c r="P148" s="61">
        <f t="shared" si="50"/>
        <v>0</v>
      </c>
      <c r="Q148" s="61">
        <f t="shared" si="51"/>
        <v>0</v>
      </c>
      <c r="R148" s="61">
        <f t="shared" si="52"/>
        <v>0</v>
      </c>
      <c r="S148" s="61">
        <f t="shared" si="53"/>
        <v>0</v>
      </c>
    </row>
    <row r="149" spans="7:33" x14ac:dyDescent="0.25">
      <c r="G149" s="44">
        <v>0.05</v>
      </c>
      <c r="H149" s="44">
        <v>0</v>
      </c>
      <c r="I149" s="44">
        <v>0</v>
      </c>
      <c r="J149" s="44">
        <v>0</v>
      </c>
      <c r="K149" s="44">
        <v>0</v>
      </c>
      <c r="L149" s="44">
        <v>0</v>
      </c>
      <c r="N149" s="61">
        <f t="shared" si="48"/>
        <v>572212.25</v>
      </c>
      <c r="O149" s="61">
        <f t="shared" si="49"/>
        <v>0</v>
      </c>
      <c r="P149" s="61">
        <f t="shared" si="50"/>
        <v>0</v>
      </c>
      <c r="Q149" s="61">
        <f t="shared" si="51"/>
        <v>0</v>
      </c>
      <c r="R149" s="61">
        <f t="shared" si="52"/>
        <v>0</v>
      </c>
      <c r="S149" s="61">
        <f t="shared" si="53"/>
        <v>0</v>
      </c>
    </row>
    <row r="150" spans="7:33" x14ac:dyDescent="0.25">
      <c r="G150" s="44">
        <v>0.12</v>
      </c>
      <c r="H150" s="44">
        <v>0.12</v>
      </c>
      <c r="I150" s="44">
        <v>0</v>
      </c>
      <c r="J150" s="44">
        <v>0</v>
      </c>
      <c r="K150" s="44">
        <v>0</v>
      </c>
      <c r="L150" s="44">
        <v>0</v>
      </c>
      <c r="N150" s="61">
        <f t="shared" si="48"/>
        <v>1373309.4</v>
      </c>
      <c r="O150" s="61">
        <f t="shared" si="49"/>
        <v>855971.52</v>
      </c>
      <c r="P150" s="61">
        <f t="shared" si="50"/>
        <v>0</v>
      </c>
      <c r="Q150" s="61">
        <f t="shared" si="51"/>
        <v>0</v>
      </c>
      <c r="R150" s="61">
        <f t="shared" si="52"/>
        <v>0</v>
      </c>
      <c r="S150" s="61">
        <f t="shared" si="53"/>
        <v>0</v>
      </c>
    </row>
    <row r="151" spans="7:33" x14ac:dyDescent="0.25">
      <c r="G151" s="44">
        <v>0.15</v>
      </c>
      <c r="H151" s="44">
        <v>0.17</v>
      </c>
      <c r="I151" s="44">
        <v>0.06</v>
      </c>
      <c r="J151" s="44">
        <v>0.06</v>
      </c>
      <c r="K151" s="44">
        <v>0</v>
      </c>
      <c r="L151" s="44">
        <v>0</v>
      </c>
      <c r="N151" s="61">
        <f t="shared" si="48"/>
        <v>1716636.75</v>
      </c>
      <c r="O151" s="61">
        <f t="shared" si="49"/>
        <v>1212626.32</v>
      </c>
      <c r="P151" s="61">
        <f t="shared" si="50"/>
        <v>404340.06</v>
      </c>
      <c r="Q151" s="61">
        <f t="shared" si="51"/>
        <v>258611.09999999998</v>
      </c>
      <c r="R151" s="61">
        <f t="shared" si="52"/>
        <v>0</v>
      </c>
      <c r="S151" s="61">
        <f t="shared" si="53"/>
        <v>0</v>
      </c>
      <c r="AB151" s="21" t="s">
        <v>11</v>
      </c>
    </row>
    <row r="152" spans="7:33" ht="28.5" x14ac:dyDescent="0.25">
      <c r="G152" s="44"/>
      <c r="H152" s="44"/>
      <c r="I152" s="44"/>
      <c r="J152" s="44"/>
      <c r="K152" s="44"/>
      <c r="L152" s="44"/>
      <c r="N152" s="61"/>
      <c r="O152" s="61"/>
      <c r="P152" s="61"/>
      <c r="Q152" s="61"/>
      <c r="R152" s="61"/>
      <c r="S152" s="61"/>
      <c r="U152" s="20" t="s">
        <v>148</v>
      </c>
      <c r="V152" s="20" t="s">
        <v>149</v>
      </c>
      <c r="W152" s="20" t="s">
        <v>150</v>
      </c>
      <c r="X152" s="20" t="s">
        <v>151</v>
      </c>
      <c r="Y152" s="20" t="s">
        <v>152</v>
      </c>
      <c r="Z152" s="20" t="s">
        <v>153</v>
      </c>
      <c r="AA152" s="20" t="s">
        <v>81</v>
      </c>
      <c r="AB152" s="34" t="s">
        <v>125</v>
      </c>
      <c r="AC152" s="35" t="s">
        <v>127</v>
      </c>
      <c r="AD152" s="35" t="s">
        <v>126</v>
      </c>
      <c r="AE152" s="36" t="s">
        <v>128</v>
      </c>
      <c r="AF152" s="35" t="s">
        <v>129</v>
      </c>
      <c r="AG152" s="20" t="s">
        <v>130</v>
      </c>
    </row>
    <row r="153" spans="7:33" x14ac:dyDescent="0.25">
      <c r="G153" s="44">
        <v>0.55000000000000004</v>
      </c>
      <c r="H153" s="44">
        <v>0.63</v>
      </c>
      <c r="I153" s="44">
        <v>0.8</v>
      </c>
      <c r="J153" s="44">
        <v>0.92</v>
      </c>
      <c r="K153" s="44">
        <v>1</v>
      </c>
      <c r="L153" s="44">
        <v>1</v>
      </c>
      <c r="N153" s="61">
        <f>H$76*G153</f>
        <v>6536799.5000000009</v>
      </c>
      <c r="O153" s="61">
        <f>H$77*H153</f>
        <v>5652581.1299999999</v>
      </c>
      <c r="P153" s="61">
        <f>H$78*I153</f>
        <v>6542680</v>
      </c>
      <c r="Q153" s="61">
        <f>H$79*J153</f>
        <v>7202697.4800000004</v>
      </c>
      <c r="R153" s="61">
        <f>H$80*K153</f>
        <v>5545337</v>
      </c>
      <c r="S153" s="61">
        <f>H$81*L153</f>
        <v>6192880</v>
      </c>
      <c r="U153" s="62">
        <f>N153</f>
        <v>6536799.5000000009</v>
      </c>
      <c r="V153" s="62">
        <f>O153+SUM(N154:S154)</f>
        <v>5652581.1299999999</v>
      </c>
      <c r="W153" s="62">
        <f>P153+SUM(N155:S155)</f>
        <v>7612338.0999999996</v>
      </c>
      <c r="X153" s="62">
        <f>Q153+SUM(N156:S156)</f>
        <v>7796951.9800000004</v>
      </c>
      <c r="Y153" s="62">
        <f>R153+SUM(N157:S157)</f>
        <v>8905764.9700000007</v>
      </c>
      <c r="Z153" s="62">
        <f>S153+SUM(N158:S158)</f>
        <v>12307165.73</v>
      </c>
      <c r="AA153" s="62">
        <f>SUM(U153:Z153)</f>
        <v>48811601.409999996</v>
      </c>
      <c r="AB153" s="42">
        <f>AA153/2</f>
        <v>24405800.704999998</v>
      </c>
      <c r="AC153" s="43">
        <f>SUM(U153:X153)</f>
        <v>27598670.710000001</v>
      </c>
      <c r="AD153" s="43">
        <f>SUM(Y153:Z153)</f>
        <v>21212930.700000003</v>
      </c>
      <c r="AE153" s="21" t="str">
        <f>IF(AC153&gt;AB153,"TEK69","TEK87")</f>
        <v>TEK69</v>
      </c>
      <c r="AF153" s="44">
        <f>IF(AC153&gt;AD153,(AC153-AB153)/AB153,(AD153-AB153)/AB153)</f>
        <v>0.13082422673171637</v>
      </c>
      <c r="AG153" s="21" t="s">
        <v>133</v>
      </c>
    </row>
    <row r="154" spans="7:33" x14ac:dyDescent="0.25">
      <c r="G154" s="44">
        <v>0</v>
      </c>
      <c r="H154" s="44">
        <v>0</v>
      </c>
      <c r="I154" s="44">
        <v>0</v>
      </c>
      <c r="J154" s="44">
        <v>0</v>
      </c>
      <c r="K154" s="44">
        <v>0</v>
      </c>
      <c r="L154" s="44">
        <v>0</v>
      </c>
      <c r="N154" s="61">
        <f t="shared" ref="N154:N158" si="54">H$76*G154</f>
        <v>0</v>
      </c>
      <c r="O154" s="61">
        <f t="shared" ref="O154:O158" si="55">H$77*H154</f>
        <v>0</v>
      </c>
      <c r="P154" s="61">
        <f t="shared" ref="P154:P158" si="56">H$78*I154</f>
        <v>0</v>
      </c>
      <c r="Q154" s="61">
        <f t="shared" ref="Q154:Q158" si="57">H$79*J154</f>
        <v>0</v>
      </c>
      <c r="R154" s="61">
        <f t="shared" ref="R154:R158" si="58">H$80*K154</f>
        <v>0</v>
      </c>
      <c r="S154" s="61">
        <f t="shared" ref="S154:S158" si="59">H$81*L154</f>
        <v>0</v>
      </c>
    </row>
    <row r="155" spans="7:33" x14ac:dyDescent="0.25">
      <c r="G155" s="44">
        <v>0.09</v>
      </c>
      <c r="H155" s="44">
        <v>0</v>
      </c>
      <c r="I155" s="44">
        <v>0</v>
      </c>
      <c r="J155" s="44">
        <v>0</v>
      </c>
      <c r="K155" s="44">
        <v>0</v>
      </c>
      <c r="L155" s="44">
        <v>0</v>
      </c>
      <c r="N155" s="61">
        <f t="shared" si="54"/>
        <v>1069658.0999999999</v>
      </c>
      <c r="O155" s="61">
        <f t="shared" si="55"/>
        <v>0</v>
      </c>
      <c r="P155" s="61">
        <f t="shared" si="56"/>
        <v>0</v>
      </c>
      <c r="Q155" s="61">
        <f t="shared" si="57"/>
        <v>0</v>
      </c>
      <c r="R155" s="61">
        <f t="shared" si="58"/>
        <v>0</v>
      </c>
      <c r="S155" s="61">
        <f t="shared" si="59"/>
        <v>0</v>
      </c>
    </row>
    <row r="156" spans="7:33" x14ac:dyDescent="0.25">
      <c r="G156" s="44">
        <v>0.05</v>
      </c>
      <c r="H156" s="44">
        <v>0</v>
      </c>
      <c r="I156" s="44">
        <v>0</v>
      </c>
      <c r="J156" s="44">
        <v>0</v>
      </c>
      <c r="K156" s="44">
        <v>0</v>
      </c>
      <c r="L156" s="44">
        <v>0</v>
      </c>
      <c r="N156" s="61">
        <f t="shared" si="54"/>
        <v>594254.5</v>
      </c>
      <c r="O156" s="61">
        <f t="shared" si="55"/>
        <v>0</v>
      </c>
      <c r="P156" s="61">
        <f t="shared" si="56"/>
        <v>0</v>
      </c>
      <c r="Q156" s="61">
        <f t="shared" si="57"/>
        <v>0</v>
      </c>
      <c r="R156" s="61">
        <f t="shared" si="58"/>
        <v>0</v>
      </c>
      <c r="S156" s="61">
        <f t="shared" si="59"/>
        <v>0</v>
      </c>
    </row>
    <row r="157" spans="7:33" x14ac:dyDescent="0.25">
      <c r="G157" s="44">
        <v>0.12</v>
      </c>
      <c r="H157" s="44">
        <v>0.17</v>
      </c>
      <c r="I157" s="44">
        <v>0.05</v>
      </c>
      <c r="J157" s="44">
        <v>0</v>
      </c>
      <c r="K157" s="44">
        <v>0</v>
      </c>
      <c r="L157" s="44">
        <v>0</v>
      </c>
      <c r="N157" s="61">
        <f t="shared" si="54"/>
        <v>1426210.8</v>
      </c>
      <c r="O157" s="61">
        <f t="shared" si="55"/>
        <v>1525299.6700000002</v>
      </c>
      <c r="P157" s="61">
        <f t="shared" si="56"/>
        <v>408917.5</v>
      </c>
      <c r="Q157" s="61">
        <f t="shared" si="57"/>
        <v>0</v>
      </c>
      <c r="R157" s="61">
        <f t="shared" si="58"/>
        <v>0</v>
      </c>
      <c r="S157" s="61">
        <f t="shared" si="59"/>
        <v>0</v>
      </c>
    </row>
    <row r="158" spans="7:33" x14ac:dyDescent="0.25">
      <c r="G158" s="44">
        <v>0.2</v>
      </c>
      <c r="H158" s="44">
        <v>0.21</v>
      </c>
      <c r="I158" s="44">
        <v>0.15</v>
      </c>
      <c r="J158" s="44">
        <v>0.08</v>
      </c>
      <c r="K158" s="44">
        <v>0</v>
      </c>
      <c r="L158" s="44">
        <v>0</v>
      </c>
      <c r="N158" s="61">
        <f t="shared" si="54"/>
        <v>2377018</v>
      </c>
      <c r="O158" s="61">
        <f t="shared" si="55"/>
        <v>1884193.71</v>
      </c>
      <c r="P158" s="61">
        <f t="shared" si="56"/>
        <v>1226752.5</v>
      </c>
      <c r="Q158" s="61">
        <f t="shared" si="57"/>
        <v>626321.52</v>
      </c>
      <c r="R158" s="61">
        <f t="shared" si="58"/>
        <v>0</v>
      </c>
      <c r="S158" s="61">
        <f t="shared" si="59"/>
        <v>0</v>
      </c>
    </row>
    <row r="160" spans="7:33" x14ac:dyDescent="0.25">
      <c r="U160" s="21" t="s">
        <v>159</v>
      </c>
    </row>
    <row r="161" spans="21:34" x14ac:dyDescent="0.25">
      <c r="U161" s="21" t="s">
        <v>160</v>
      </c>
    </row>
    <row r="163" spans="21:34" x14ac:dyDescent="0.25">
      <c r="AB163" s="21" t="s">
        <v>161</v>
      </c>
    </row>
    <row r="164" spans="21:34" ht="28.5" x14ac:dyDescent="0.25">
      <c r="U164" s="20" t="s">
        <v>148</v>
      </c>
      <c r="V164" s="20" t="s">
        <v>149</v>
      </c>
      <c r="W164" s="20" t="s">
        <v>150</v>
      </c>
      <c r="X164" s="20" t="s">
        <v>151</v>
      </c>
      <c r="Y164" s="20" t="s">
        <v>152</v>
      </c>
      <c r="Z164" s="20" t="s">
        <v>153</v>
      </c>
      <c r="AA164" s="20" t="s">
        <v>81</v>
      </c>
      <c r="AB164" s="34" t="s">
        <v>125</v>
      </c>
      <c r="AC164" s="35" t="s">
        <v>127</v>
      </c>
      <c r="AD164" s="35" t="s">
        <v>126</v>
      </c>
      <c r="AE164" s="36" t="s">
        <v>128</v>
      </c>
      <c r="AF164" s="35" t="s">
        <v>129</v>
      </c>
      <c r="AG164" s="20" t="s">
        <v>130</v>
      </c>
      <c r="AH164" s="37" t="s">
        <v>131</v>
      </c>
    </row>
    <row r="165" spans="21:34" x14ac:dyDescent="0.25">
      <c r="U165" s="62">
        <f>U93+U107+U116+U130+U139+U153</f>
        <v>56020826.530000001</v>
      </c>
      <c r="V165" s="62">
        <f t="shared" ref="V165:Z165" si="60">V93+V107+V116+V130+V139+V153</f>
        <v>69558664.850000009</v>
      </c>
      <c r="W165" s="62">
        <f t="shared" si="60"/>
        <v>108143878.58999999</v>
      </c>
      <c r="X165" s="62">
        <f t="shared" si="60"/>
        <v>154221604.67999998</v>
      </c>
      <c r="Y165" s="62">
        <f t="shared" si="60"/>
        <v>119962004.59999999</v>
      </c>
      <c r="Z165" s="62">
        <f t="shared" si="60"/>
        <v>146605406.02000001</v>
      </c>
      <c r="AA165" s="62">
        <f>SUM(U165:Z165)</f>
        <v>654512385.26999998</v>
      </c>
      <c r="AB165" s="42">
        <f>AA165/2</f>
        <v>327256192.63499999</v>
      </c>
      <c r="AC165" s="43">
        <f>SUM(U165:X165)</f>
        <v>387944974.64999998</v>
      </c>
      <c r="AD165" s="43">
        <f>SUM(Y165:Z165)</f>
        <v>266567410.62</v>
      </c>
      <c r="AE165" s="21" t="str">
        <f>IF(AC165&gt;AB165,"TEK69","TEK87")</f>
        <v>TEK69</v>
      </c>
      <c r="AF165" s="44">
        <f>IF(AC165&gt;AD165,(AC165-AB165)/AB165,(AD165-AB165)/AB165)</f>
        <v>0.18544731430854314</v>
      </c>
      <c r="AG165" s="21" t="s">
        <v>136</v>
      </c>
      <c r="AH165" s="45" t="s">
        <v>121</v>
      </c>
    </row>
    <row r="167" spans="21:34" x14ac:dyDescent="0.25">
      <c r="AB167" s="21" t="s">
        <v>154</v>
      </c>
    </row>
    <row r="168" spans="21:34" ht="28.5" x14ac:dyDescent="0.25">
      <c r="U168" s="20" t="s">
        <v>148</v>
      </c>
      <c r="V168" s="20" t="s">
        <v>149</v>
      </c>
      <c r="W168" s="20" t="s">
        <v>150</v>
      </c>
      <c r="X168" s="20" t="s">
        <v>151</v>
      </c>
      <c r="Y168" s="20" t="s">
        <v>152</v>
      </c>
      <c r="Z168" s="20" t="s">
        <v>153</v>
      </c>
      <c r="AA168" s="20" t="s">
        <v>81</v>
      </c>
      <c r="AB168" s="34" t="s">
        <v>125</v>
      </c>
      <c r="AC168" s="35" t="s">
        <v>127</v>
      </c>
      <c r="AD168" s="35" t="s">
        <v>126</v>
      </c>
      <c r="AE168" s="36" t="s">
        <v>128</v>
      </c>
      <c r="AF168" s="35" t="s">
        <v>129</v>
      </c>
      <c r="AG168" s="20" t="s">
        <v>130</v>
      </c>
      <c r="AH168" s="37" t="s">
        <v>131</v>
      </c>
    </row>
    <row r="169" spans="21:34" x14ac:dyDescent="0.25">
      <c r="U169" s="62">
        <f>U100+U123+U146</f>
        <v>17051925.050000001</v>
      </c>
      <c r="V169" s="62">
        <f t="shared" ref="V169:Z169" si="61">V100+V123+V146</f>
        <v>12212486.18</v>
      </c>
      <c r="W169" s="62">
        <f t="shared" si="61"/>
        <v>15854578.579999998</v>
      </c>
      <c r="X169" s="62">
        <f t="shared" si="61"/>
        <v>17769222.32</v>
      </c>
      <c r="Y169" s="62">
        <f t="shared" si="61"/>
        <v>24569231.359999999</v>
      </c>
      <c r="Z169" s="62">
        <f t="shared" si="61"/>
        <v>38721561.950000003</v>
      </c>
      <c r="AA169" s="62">
        <f>SUM(U169:Z169)</f>
        <v>126179005.44000001</v>
      </c>
      <c r="AB169" s="42">
        <f>AA169/2</f>
        <v>63089502.720000006</v>
      </c>
      <c r="AC169" s="43">
        <f>SUM(U169:X169)</f>
        <v>62888212.130000003</v>
      </c>
      <c r="AD169" s="43">
        <f>SUM(Y169:Z169)</f>
        <v>63290793.310000002</v>
      </c>
      <c r="AE169" s="21" t="str">
        <f>IF(AC169&gt;AB169,"TEK69","TEK87")</f>
        <v>TEK87</v>
      </c>
      <c r="AF169" s="44">
        <f>IF(AC169&gt;AD169,(AC169-AB169)/AB169,(AD169-AB169)/AB169)</f>
        <v>3.1905559771702716E-3</v>
      </c>
      <c r="AG169" s="21" t="s">
        <v>162</v>
      </c>
      <c r="AH169" s="45" t="s">
        <v>121</v>
      </c>
    </row>
  </sheetData>
  <mergeCells count="4">
    <mergeCell ref="A20:O25"/>
    <mergeCell ref="A39:O39"/>
    <mergeCell ref="A40:O40"/>
    <mergeCell ref="G65:G67"/>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zoomScale="90" zoomScaleNormal="90" workbookViewId="0">
      <selection activeCell="P26" sqref="P26"/>
    </sheetView>
  </sheetViews>
  <sheetFormatPr baseColWidth="10" defaultColWidth="9.140625" defaultRowHeight="15" x14ac:dyDescent="0.25"/>
  <cols>
    <col min="1" max="1" width="27.5703125" customWidth="1"/>
    <col min="2" max="2" width="18.42578125" customWidth="1"/>
    <col min="3" max="3" width="9.7109375" customWidth="1"/>
    <col min="5" max="5" width="11.28515625" bestFit="1" customWidth="1"/>
    <col min="6" max="6" width="11.7109375" customWidth="1"/>
    <col min="7" max="7" width="17.7109375" customWidth="1"/>
    <col min="8" max="9" width="11.28515625" customWidth="1"/>
    <col min="10" max="10" width="16.7109375" bestFit="1" customWidth="1"/>
    <col min="11" max="11" width="6.85546875" customWidth="1"/>
    <col min="19" max="19" width="8.7109375" customWidth="1"/>
    <col min="22" max="22" width="15.28515625" bestFit="1" customWidth="1"/>
    <col min="23" max="23" width="10.140625" customWidth="1"/>
  </cols>
  <sheetData>
    <row r="1" spans="1:23" x14ac:dyDescent="0.25">
      <c r="A1" s="20" t="s">
        <v>330</v>
      </c>
      <c r="B1" s="20"/>
      <c r="J1" s="1"/>
    </row>
    <row r="2" spans="1:23" x14ac:dyDescent="0.25">
      <c r="A2" s="20"/>
      <c r="B2" s="20"/>
      <c r="J2" s="1"/>
    </row>
    <row r="3" spans="1:23" x14ac:dyDescent="0.25">
      <c r="A3" s="4" t="s">
        <v>307</v>
      </c>
      <c r="J3" s="1"/>
    </row>
    <row r="4" spans="1:23" x14ac:dyDescent="0.25">
      <c r="A4" s="73" t="s">
        <v>95</v>
      </c>
      <c r="B4" s="63" t="s">
        <v>163</v>
      </c>
      <c r="C4" s="64" t="s">
        <v>164</v>
      </c>
      <c r="D4" s="64"/>
      <c r="E4" s="63" t="s">
        <v>165</v>
      </c>
      <c r="F4" s="65" t="s">
        <v>166</v>
      </c>
      <c r="G4" s="65" t="s">
        <v>22</v>
      </c>
      <c r="H4" s="65" t="s">
        <v>167</v>
      </c>
      <c r="I4" s="66" t="s">
        <v>168</v>
      </c>
      <c r="J4" s="65" t="s">
        <v>169</v>
      </c>
      <c r="K4" s="66"/>
      <c r="L4" s="63" t="s">
        <v>170</v>
      </c>
      <c r="M4" s="66"/>
      <c r="N4" s="66"/>
      <c r="O4" s="66"/>
      <c r="P4" s="66"/>
      <c r="Q4" s="63" t="s">
        <v>171</v>
      </c>
      <c r="R4" s="66"/>
      <c r="S4" s="66"/>
      <c r="T4" s="66"/>
      <c r="U4" s="66"/>
      <c r="V4" s="63" t="s">
        <v>172</v>
      </c>
      <c r="W4" s="67" t="s">
        <v>173</v>
      </c>
    </row>
    <row r="5" spans="1:23" x14ac:dyDescent="0.25">
      <c r="A5" s="68"/>
      <c r="B5" s="69" t="s">
        <v>174</v>
      </c>
      <c r="C5" s="70" t="s">
        <v>174</v>
      </c>
      <c r="D5" s="70"/>
      <c r="E5" s="71"/>
      <c r="F5" s="72" t="s">
        <v>175</v>
      </c>
      <c r="G5" s="72" t="s">
        <v>176</v>
      </c>
      <c r="H5" s="69" t="s">
        <v>174</v>
      </c>
      <c r="I5" s="69" t="s">
        <v>174</v>
      </c>
      <c r="J5" s="69" t="s">
        <v>174</v>
      </c>
      <c r="K5" s="69" t="s">
        <v>177</v>
      </c>
      <c r="L5" s="69" t="s">
        <v>178</v>
      </c>
      <c r="M5" s="69" t="s">
        <v>179</v>
      </c>
      <c r="N5" s="69" t="s">
        <v>180</v>
      </c>
      <c r="O5" s="69" t="s">
        <v>181</v>
      </c>
      <c r="P5" s="69" t="s">
        <v>182</v>
      </c>
      <c r="Q5" s="69" t="s">
        <v>183</v>
      </c>
      <c r="R5" s="69" t="s">
        <v>184</v>
      </c>
      <c r="S5" s="69" t="s">
        <v>185</v>
      </c>
      <c r="T5" s="69" t="s">
        <v>186</v>
      </c>
      <c r="U5" s="69" t="s">
        <v>187</v>
      </c>
      <c r="V5" s="69" t="s">
        <v>188</v>
      </c>
      <c r="W5" s="27"/>
    </row>
    <row r="6" spans="1:23" x14ac:dyDescent="0.25">
      <c r="A6" s="73" t="s">
        <v>11</v>
      </c>
      <c r="B6" s="66">
        <f t="shared" ref="B6:B18" si="0">C6*E6</f>
        <v>160</v>
      </c>
      <c r="C6" s="66">
        <v>80</v>
      </c>
      <c r="D6" s="63" t="s">
        <v>189</v>
      </c>
      <c r="E6" s="74">
        <v>2</v>
      </c>
      <c r="F6" s="75">
        <f t="shared" ref="F6:F18" si="1">G6/B6</f>
        <v>2.75</v>
      </c>
      <c r="G6" s="66">
        <v>440</v>
      </c>
      <c r="H6" s="66">
        <v>90</v>
      </c>
      <c r="I6" s="66">
        <v>160</v>
      </c>
      <c r="J6" s="66">
        <v>32</v>
      </c>
      <c r="K6" s="76">
        <f t="shared" ref="K6:K18" si="2">J6/B6</f>
        <v>0.2</v>
      </c>
      <c r="L6" s="66">
        <v>10</v>
      </c>
      <c r="M6" s="66">
        <v>10</v>
      </c>
      <c r="N6" s="66">
        <v>6</v>
      </c>
      <c r="O6" s="66">
        <v>6</v>
      </c>
      <c r="P6" s="66">
        <f>SUM(L6:O6)</f>
        <v>32</v>
      </c>
      <c r="Q6" s="77">
        <f>L6/$P6</f>
        <v>0.3125</v>
      </c>
      <c r="R6" s="77">
        <f>M6/$P6</f>
        <v>0.3125</v>
      </c>
      <c r="S6" s="77">
        <f t="shared" ref="S6:T18" si="3">N6/$P6</f>
        <v>0.1875</v>
      </c>
      <c r="T6" s="77">
        <f t="shared" si="3"/>
        <v>0.1875</v>
      </c>
      <c r="U6" s="77">
        <f>SUM(Q6:T6)</f>
        <v>1</v>
      </c>
      <c r="V6" s="66" t="s">
        <v>190</v>
      </c>
      <c r="W6" s="67">
        <f t="shared" ref="W6:W18" si="4">(I6+J6+C6*2)/G6</f>
        <v>0.8</v>
      </c>
    </row>
    <row r="7" spans="1:23" x14ac:dyDescent="0.25">
      <c r="A7" s="24" t="s">
        <v>1</v>
      </c>
      <c r="B7" s="1">
        <f t="shared" si="0"/>
        <v>900</v>
      </c>
      <c r="C7" s="1">
        <v>300</v>
      </c>
      <c r="D7" s="78" t="s">
        <v>191</v>
      </c>
      <c r="E7" s="79">
        <v>3</v>
      </c>
      <c r="F7" s="80">
        <f t="shared" si="1"/>
        <v>2.2799999999999998</v>
      </c>
      <c r="G7" s="1">
        <v>2052</v>
      </c>
      <c r="H7" s="1">
        <v>300</v>
      </c>
      <c r="I7" s="1">
        <v>458</v>
      </c>
      <c r="J7" s="1">
        <v>180</v>
      </c>
      <c r="K7" s="77">
        <f t="shared" si="2"/>
        <v>0.2</v>
      </c>
      <c r="L7" s="1">
        <v>90</v>
      </c>
      <c r="M7" s="2">
        <v>90</v>
      </c>
      <c r="N7" s="2">
        <v>0</v>
      </c>
      <c r="O7" s="2">
        <v>0</v>
      </c>
      <c r="P7" s="1">
        <f>SUM(L7:O7)</f>
        <v>180</v>
      </c>
      <c r="Q7" s="77">
        <f t="shared" ref="Q7:R18" si="5">L7/$P7</f>
        <v>0.5</v>
      </c>
      <c r="R7" s="77">
        <f t="shared" si="5"/>
        <v>0.5</v>
      </c>
      <c r="S7" s="77">
        <f t="shared" si="3"/>
        <v>0</v>
      </c>
      <c r="T7" s="77">
        <f t="shared" si="3"/>
        <v>0</v>
      </c>
      <c r="U7" s="77">
        <f>SUM(Q7:T7)</f>
        <v>1</v>
      </c>
      <c r="V7" s="1" t="s">
        <v>192</v>
      </c>
      <c r="W7" s="25">
        <f t="shared" si="4"/>
        <v>0.60331384015594547</v>
      </c>
    </row>
    <row r="8" spans="1:23" x14ac:dyDescent="0.25">
      <c r="A8" s="24" t="s">
        <v>97</v>
      </c>
      <c r="B8" s="1">
        <f t="shared" si="0"/>
        <v>300</v>
      </c>
      <c r="C8" s="1">
        <v>300</v>
      </c>
      <c r="D8" s="78" t="s">
        <v>191</v>
      </c>
      <c r="E8" s="79">
        <v>1</v>
      </c>
      <c r="F8" s="80">
        <f t="shared" si="1"/>
        <v>2.5666666666666669</v>
      </c>
      <c r="G8" s="1">
        <v>770</v>
      </c>
      <c r="H8" s="1">
        <v>300</v>
      </c>
      <c r="I8" s="1">
        <v>174</v>
      </c>
      <c r="J8" s="1">
        <v>60</v>
      </c>
      <c r="K8" s="77">
        <f t="shared" si="2"/>
        <v>0.2</v>
      </c>
      <c r="L8" s="1">
        <v>18</v>
      </c>
      <c r="M8" s="1">
        <v>18</v>
      </c>
      <c r="N8" s="1">
        <v>12</v>
      </c>
      <c r="O8" s="1">
        <v>12</v>
      </c>
      <c r="P8" s="1">
        <f>SUM(L8:O8)</f>
        <v>60</v>
      </c>
      <c r="Q8" s="77">
        <f t="shared" si="5"/>
        <v>0.3</v>
      </c>
      <c r="R8" s="77">
        <f t="shared" si="5"/>
        <v>0.3</v>
      </c>
      <c r="S8" s="77">
        <f t="shared" si="3"/>
        <v>0.2</v>
      </c>
      <c r="T8" s="77">
        <f t="shared" si="3"/>
        <v>0.2</v>
      </c>
      <c r="U8" s="77">
        <f>SUM(Q8:T8)</f>
        <v>1</v>
      </c>
      <c r="V8" s="1" t="s">
        <v>193</v>
      </c>
      <c r="W8" s="25">
        <f t="shared" si="4"/>
        <v>1.0831168831168831</v>
      </c>
    </row>
    <row r="9" spans="1:23" x14ac:dyDescent="0.25">
      <c r="A9" s="24" t="s">
        <v>98</v>
      </c>
      <c r="B9" s="1">
        <f t="shared" si="0"/>
        <v>3600</v>
      </c>
      <c r="C9" s="2">
        <v>1200</v>
      </c>
      <c r="D9" s="78" t="s">
        <v>194</v>
      </c>
      <c r="E9" s="79">
        <v>3</v>
      </c>
      <c r="F9" s="80">
        <f t="shared" si="1"/>
        <v>2.4300000000000002</v>
      </c>
      <c r="G9" s="2">
        <v>8748</v>
      </c>
      <c r="H9" s="2">
        <v>1200</v>
      </c>
      <c r="I9" s="2">
        <v>796</v>
      </c>
      <c r="J9" s="2">
        <v>720</v>
      </c>
      <c r="K9" s="77">
        <f t="shared" si="2"/>
        <v>0.2</v>
      </c>
      <c r="L9" s="2">
        <v>216</v>
      </c>
      <c r="M9" s="2">
        <v>216</v>
      </c>
      <c r="N9" s="2">
        <v>144</v>
      </c>
      <c r="O9" s="2">
        <v>144</v>
      </c>
      <c r="P9" s="1">
        <f t="shared" ref="P9:P18" si="6">SUM(L9:O9)</f>
        <v>720</v>
      </c>
      <c r="Q9" s="77">
        <f t="shared" si="5"/>
        <v>0.3</v>
      </c>
      <c r="R9" s="77">
        <f t="shared" si="5"/>
        <v>0.3</v>
      </c>
      <c r="S9" s="77">
        <f t="shared" si="3"/>
        <v>0.2</v>
      </c>
      <c r="T9" s="77">
        <f t="shared" si="3"/>
        <v>0.2</v>
      </c>
      <c r="U9" s="77">
        <f t="shared" ref="U9:U18" si="7">SUM(Q9:T9)</f>
        <v>1</v>
      </c>
      <c r="V9" s="2" t="s">
        <v>193</v>
      </c>
      <c r="W9" s="25">
        <f t="shared" si="4"/>
        <v>0.44764517604023779</v>
      </c>
    </row>
    <row r="10" spans="1:23" x14ac:dyDescent="0.25">
      <c r="A10" s="24" t="s">
        <v>99</v>
      </c>
      <c r="B10" s="1">
        <f t="shared" si="0"/>
        <v>2400</v>
      </c>
      <c r="C10" s="2">
        <v>1200</v>
      </c>
      <c r="D10" s="78" t="s">
        <v>194</v>
      </c>
      <c r="E10" s="79">
        <v>2</v>
      </c>
      <c r="F10" s="80">
        <f t="shared" si="1"/>
        <v>2.4300000000000002</v>
      </c>
      <c r="G10" s="2">
        <v>5832</v>
      </c>
      <c r="H10" s="2">
        <v>1200</v>
      </c>
      <c r="I10" s="2">
        <v>532</v>
      </c>
      <c r="J10" s="2">
        <v>480</v>
      </c>
      <c r="K10" s="77">
        <f t="shared" si="2"/>
        <v>0.2</v>
      </c>
      <c r="L10" s="2">
        <v>144</v>
      </c>
      <c r="M10" s="2">
        <v>144</v>
      </c>
      <c r="N10" s="2">
        <v>96</v>
      </c>
      <c r="O10" s="2">
        <v>96</v>
      </c>
      <c r="P10" s="1">
        <f t="shared" si="6"/>
        <v>480</v>
      </c>
      <c r="Q10" s="77">
        <f t="shared" si="5"/>
        <v>0.3</v>
      </c>
      <c r="R10" s="77">
        <f t="shared" si="5"/>
        <v>0.3</v>
      </c>
      <c r="S10" s="77">
        <f t="shared" si="3"/>
        <v>0.2</v>
      </c>
      <c r="T10" s="77">
        <f t="shared" si="3"/>
        <v>0.2</v>
      </c>
      <c r="U10" s="77">
        <f t="shared" si="7"/>
        <v>1</v>
      </c>
      <c r="V10" s="2" t="s">
        <v>193</v>
      </c>
      <c r="W10" s="25">
        <f t="shared" si="4"/>
        <v>0.58504801097393688</v>
      </c>
    </row>
    <row r="11" spans="1:23" x14ac:dyDescent="0.25">
      <c r="A11" s="24" t="s">
        <v>100</v>
      </c>
      <c r="B11" s="1">
        <f t="shared" si="0"/>
        <v>3600</v>
      </c>
      <c r="C11" s="2">
        <v>1200</v>
      </c>
      <c r="D11" s="78" t="s">
        <v>194</v>
      </c>
      <c r="E11" s="79">
        <v>3</v>
      </c>
      <c r="F11" s="80">
        <f t="shared" si="1"/>
        <v>2.4300000000000002</v>
      </c>
      <c r="G11" s="2">
        <v>8748</v>
      </c>
      <c r="H11" s="2">
        <v>1200</v>
      </c>
      <c r="I11" s="2">
        <v>796</v>
      </c>
      <c r="J11" s="2">
        <v>720</v>
      </c>
      <c r="K11" s="77">
        <f t="shared" si="2"/>
        <v>0.2</v>
      </c>
      <c r="L11" s="2">
        <v>216</v>
      </c>
      <c r="M11" s="2">
        <v>216</v>
      </c>
      <c r="N11" s="2">
        <v>144</v>
      </c>
      <c r="O11" s="2">
        <v>144</v>
      </c>
      <c r="P11" s="1">
        <f t="shared" si="6"/>
        <v>720</v>
      </c>
      <c r="Q11" s="77">
        <f t="shared" si="5"/>
        <v>0.3</v>
      </c>
      <c r="R11" s="77">
        <f t="shared" si="5"/>
        <v>0.3</v>
      </c>
      <c r="S11" s="77">
        <f t="shared" si="3"/>
        <v>0.2</v>
      </c>
      <c r="T11" s="77">
        <f t="shared" si="3"/>
        <v>0.2</v>
      </c>
      <c r="U11" s="77">
        <f t="shared" si="7"/>
        <v>1</v>
      </c>
      <c r="V11" s="2" t="s">
        <v>193</v>
      </c>
      <c r="W11" s="25">
        <f t="shared" si="4"/>
        <v>0.44764517604023779</v>
      </c>
    </row>
    <row r="12" spans="1:23" x14ac:dyDescent="0.25">
      <c r="A12" s="24" t="s">
        <v>101</v>
      </c>
      <c r="B12" s="1">
        <f t="shared" si="0"/>
        <v>3600</v>
      </c>
      <c r="C12" s="2">
        <v>1200</v>
      </c>
      <c r="D12" s="78" t="s">
        <v>194</v>
      </c>
      <c r="E12" s="79">
        <v>3</v>
      </c>
      <c r="F12" s="80">
        <f t="shared" si="1"/>
        <v>2.4300000000000002</v>
      </c>
      <c r="G12" s="2">
        <v>8748</v>
      </c>
      <c r="H12" s="2">
        <v>1200</v>
      </c>
      <c r="I12" s="2">
        <v>796</v>
      </c>
      <c r="J12" s="2">
        <v>720</v>
      </c>
      <c r="K12" s="77">
        <f t="shared" si="2"/>
        <v>0.2</v>
      </c>
      <c r="L12" s="2">
        <v>216</v>
      </c>
      <c r="M12" s="2">
        <v>216</v>
      </c>
      <c r="N12" s="2">
        <v>144</v>
      </c>
      <c r="O12" s="2">
        <v>144</v>
      </c>
      <c r="P12" s="1">
        <f t="shared" si="6"/>
        <v>720</v>
      </c>
      <c r="Q12" s="77">
        <f t="shared" si="5"/>
        <v>0.3</v>
      </c>
      <c r="R12" s="77">
        <f t="shared" si="5"/>
        <v>0.3</v>
      </c>
      <c r="S12" s="77">
        <f t="shared" si="3"/>
        <v>0.2</v>
      </c>
      <c r="T12" s="77">
        <f t="shared" si="3"/>
        <v>0.2</v>
      </c>
      <c r="U12" s="77">
        <f t="shared" si="7"/>
        <v>1</v>
      </c>
      <c r="V12" s="2" t="s">
        <v>193</v>
      </c>
      <c r="W12" s="25">
        <f t="shared" si="4"/>
        <v>0.44764517604023779</v>
      </c>
    </row>
    <row r="13" spans="1:23" x14ac:dyDescent="0.25">
      <c r="A13" s="24" t="s">
        <v>102</v>
      </c>
      <c r="B13" s="1">
        <f t="shared" si="0"/>
        <v>2400</v>
      </c>
      <c r="C13" s="2">
        <v>1200</v>
      </c>
      <c r="D13" s="78" t="s">
        <v>194</v>
      </c>
      <c r="E13" s="81">
        <v>2</v>
      </c>
      <c r="F13" s="80">
        <f t="shared" si="1"/>
        <v>2.4300000000000002</v>
      </c>
      <c r="G13" s="2">
        <v>5832</v>
      </c>
      <c r="H13" s="2">
        <v>1200</v>
      </c>
      <c r="I13" s="2">
        <v>532</v>
      </c>
      <c r="J13" s="2">
        <v>480</v>
      </c>
      <c r="K13" s="77">
        <f t="shared" si="2"/>
        <v>0.2</v>
      </c>
      <c r="L13" s="2">
        <v>144</v>
      </c>
      <c r="M13" s="2">
        <v>144</v>
      </c>
      <c r="N13" s="2">
        <v>96</v>
      </c>
      <c r="O13" s="2">
        <v>96</v>
      </c>
      <c r="P13" s="1">
        <f t="shared" si="6"/>
        <v>480</v>
      </c>
      <c r="Q13" s="77">
        <f t="shared" si="5"/>
        <v>0.3</v>
      </c>
      <c r="R13" s="77">
        <f t="shared" si="5"/>
        <v>0.3</v>
      </c>
      <c r="S13" s="77">
        <f t="shared" si="3"/>
        <v>0.2</v>
      </c>
      <c r="T13" s="77">
        <f t="shared" si="3"/>
        <v>0.2</v>
      </c>
      <c r="U13" s="77">
        <f t="shared" si="7"/>
        <v>1</v>
      </c>
      <c r="V13" s="2" t="s">
        <v>193</v>
      </c>
      <c r="W13" s="25">
        <f t="shared" si="4"/>
        <v>0.58504801097393688</v>
      </c>
    </row>
    <row r="14" spans="1:23" x14ac:dyDescent="0.25">
      <c r="A14" s="24" t="s">
        <v>103</v>
      </c>
      <c r="B14" s="1">
        <f t="shared" si="0"/>
        <v>2400</v>
      </c>
      <c r="C14" s="2">
        <v>1200</v>
      </c>
      <c r="D14" s="78" t="s">
        <v>194</v>
      </c>
      <c r="E14" s="79">
        <v>2</v>
      </c>
      <c r="F14" s="80">
        <f t="shared" si="1"/>
        <v>2.4300000000000002</v>
      </c>
      <c r="G14" s="2">
        <v>5832</v>
      </c>
      <c r="H14" s="2">
        <v>1200</v>
      </c>
      <c r="I14" s="2">
        <v>532</v>
      </c>
      <c r="J14" s="2">
        <v>480</v>
      </c>
      <c r="K14" s="77">
        <f t="shared" si="2"/>
        <v>0.2</v>
      </c>
      <c r="L14" s="2">
        <v>144</v>
      </c>
      <c r="M14" s="2">
        <v>144</v>
      </c>
      <c r="N14" s="2">
        <v>96</v>
      </c>
      <c r="O14" s="2">
        <v>96</v>
      </c>
      <c r="P14" s="1">
        <f t="shared" si="6"/>
        <v>480</v>
      </c>
      <c r="Q14" s="77">
        <f t="shared" si="5"/>
        <v>0.3</v>
      </c>
      <c r="R14" s="77">
        <f t="shared" si="5"/>
        <v>0.3</v>
      </c>
      <c r="S14" s="77">
        <f t="shared" si="3"/>
        <v>0.2</v>
      </c>
      <c r="T14" s="77">
        <f t="shared" si="3"/>
        <v>0.2</v>
      </c>
      <c r="U14" s="77">
        <f t="shared" si="7"/>
        <v>1</v>
      </c>
      <c r="V14" s="2" t="s">
        <v>193</v>
      </c>
      <c r="W14" s="25">
        <f t="shared" si="4"/>
        <v>0.58504801097393688</v>
      </c>
    </row>
    <row r="15" spans="1:23" x14ac:dyDescent="0.25">
      <c r="A15" s="24" t="s">
        <v>104</v>
      </c>
      <c r="B15" s="1">
        <f t="shared" si="0"/>
        <v>3200</v>
      </c>
      <c r="C15" s="2">
        <v>3200</v>
      </c>
      <c r="D15" s="78" t="s">
        <v>194</v>
      </c>
      <c r="E15" s="79">
        <v>1</v>
      </c>
      <c r="F15" s="80">
        <f t="shared" si="1"/>
        <v>7.6</v>
      </c>
      <c r="G15" s="2">
        <v>24320</v>
      </c>
      <c r="H15" s="2">
        <v>3200</v>
      </c>
      <c r="I15" s="82">
        <v>1340</v>
      </c>
      <c r="J15" s="2">
        <v>640</v>
      </c>
      <c r="K15" s="77">
        <f t="shared" si="2"/>
        <v>0.2</v>
      </c>
      <c r="L15" s="15">
        <v>192</v>
      </c>
      <c r="M15" s="78">
        <v>192</v>
      </c>
      <c r="N15" s="78">
        <v>128</v>
      </c>
      <c r="O15" s="78">
        <v>128</v>
      </c>
      <c r="P15" s="1">
        <f t="shared" si="6"/>
        <v>640</v>
      </c>
      <c r="Q15" s="77">
        <f t="shared" si="5"/>
        <v>0.3</v>
      </c>
      <c r="R15" s="77">
        <f t="shared" si="5"/>
        <v>0.3</v>
      </c>
      <c r="S15" s="77">
        <f t="shared" si="3"/>
        <v>0.2</v>
      </c>
      <c r="T15" s="77">
        <f t="shared" si="3"/>
        <v>0.2</v>
      </c>
      <c r="U15" s="77">
        <f t="shared" si="7"/>
        <v>1</v>
      </c>
      <c r="V15" s="2" t="s">
        <v>193</v>
      </c>
      <c r="W15" s="25">
        <f t="shared" si="4"/>
        <v>0.34457236842105265</v>
      </c>
    </row>
    <row r="16" spans="1:23" x14ac:dyDescent="0.25">
      <c r="A16" s="24" t="s">
        <v>105</v>
      </c>
      <c r="B16" s="1">
        <f t="shared" si="0"/>
        <v>3600</v>
      </c>
      <c r="C16" s="2">
        <v>1200</v>
      </c>
      <c r="D16" s="78" t="s">
        <v>194</v>
      </c>
      <c r="E16" s="81">
        <v>3</v>
      </c>
      <c r="F16" s="80">
        <f t="shared" si="1"/>
        <v>2.4300000000000002</v>
      </c>
      <c r="G16" s="2">
        <v>8748</v>
      </c>
      <c r="H16" s="2">
        <v>1200</v>
      </c>
      <c r="I16" s="2">
        <v>796</v>
      </c>
      <c r="J16" s="2">
        <v>720</v>
      </c>
      <c r="K16" s="77">
        <f t="shared" si="2"/>
        <v>0.2</v>
      </c>
      <c r="L16" s="2">
        <v>216</v>
      </c>
      <c r="M16" s="2">
        <v>216</v>
      </c>
      <c r="N16" s="2">
        <v>144</v>
      </c>
      <c r="O16" s="2">
        <v>144</v>
      </c>
      <c r="P16" s="1">
        <f t="shared" si="6"/>
        <v>720</v>
      </c>
      <c r="Q16" s="77">
        <f t="shared" si="5"/>
        <v>0.3</v>
      </c>
      <c r="R16" s="77">
        <f t="shared" si="5"/>
        <v>0.3</v>
      </c>
      <c r="S16" s="77">
        <f t="shared" si="3"/>
        <v>0.2</v>
      </c>
      <c r="T16" s="77">
        <f t="shared" si="3"/>
        <v>0.2</v>
      </c>
      <c r="U16" s="77">
        <f t="shared" si="7"/>
        <v>1</v>
      </c>
      <c r="V16" s="2" t="s">
        <v>193</v>
      </c>
      <c r="W16" s="25">
        <f t="shared" si="4"/>
        <v>0.44764517604023779</v>
      </c>
    </row>
    <row r="17" spans="1:23" x14ac:dyDescent="0.25">
      <c r="A17" s="24" t="s">
        <v>106</v>
      </c>
      <c r="B17" s="1">
        <f t="shared" si="0"/>
        <v>2400</v>
      </c>
      <c r="C17" s="2">
        <v>1200</v>
      </c>
      <c r="D17" s="78" t="s">
        <v>194</v>
      </c>
      <c r="E17" s="79">
        <v>2</v>
      </c>
      <c r="F17" s="80">
        <f t="shared" si="1"/>
        <v>2.4300000000000002</v>
      </c>
      <c r="G17" s="2">
        <v>5832</v>
      </c>
      <c r="H17" s="2">
        <v>1200</v>
      </c>
      <c r="I17" s="2">
        <v>532</v>
      </c>
      <c r="J17" s="2">
        <v>480</v>
      </c>
      <c r="K17" s="77">
        <f t="shared" si="2"/>
        <v>0.2</v>
      </c>
      <c r="L17" s="2">
        <v>144</v>
      </c>
      <c r="M17" s="2">
        <v>144</v>
      </c>
      <c r="N17" s="2">
        <v>96</v>
      </c>
      <c r="O17" s="2">
        <v>96</v>
      </c>
      <c r="P17" s="1">
        <f t="shared" si="6"/>
        <v>480</v>
      </c>
      <c r="Q17" s="77">
        <f t="shared" si="5"/>
        <v>0.3</v>
      </c>
      <c r="R17" s="77">
        <f t="shared" si="5"/>
        <v>0.3</v>
      </c>
      <c r="S17" s="77">
        <f t="shared" si="3"/>
        <v>0.2</v>
      </c>
      <c r="T17" s="77">
        <f t="shared" si="3"/>
        <v>0.2</v>
      </c>
      <c r="U17" s="77">
        <f t="shared" si="7"/>
        <v>1</v>
      </c>
      <c r="V17" s="2" t="s">
        <v>193</v>
      </c>
      <c r="W17" s="25">
        <f t="shared" si="4"/>
        <v>0.58504801097393688</v>
      </c>
    </row>
    <row r="18" spans="1:23" s="51" customFormat="1" x14ac:dyDescent="0.25">
      <c r="A18" s="83" t="s">
        <v>195</v>
      </c>
      <c r="B18" s="84">
        <f t="shared" si="0"/>
        <v>1200</v>
      </c>
      <c r="C18" s="84">
        <v>1200</v>
      </c>
      <c r="D18" s="84" t="s">
        <v>196</v>
      </c>
      <c r="E18" s="85">
        <v>1</v>
      </c>
      <c r="F18" s="86">
        <f t="shared" si="1"/>
        <v>2.4300000000000002</v>
      </c>
      <c r="G18" s="84">
        <v>2916</v>
      </c>
      <c r="H18" s="84">
        <v>1200</v>
      </c>
      <c r="I18" s="84">
        <v>266</v>
      </c>
      <c r="J18" s="84">
        <v>240</v>
      </c>
      <c r="K18" s="87">
        <f t="shared" si="2"/>
        <v>0.2</v>
      </c>
      <c r="L18" s="84">
        <v>72</v>
      </c>
      <c r="M18" s="84">
        <v>72</v>
      </c>
      <c r="N18" s="84">
        <v>48</v>
      </c>
      <c r="O18" s="84">
        <v>48</v>
      </c>
      <c r="P18" s="84">
        <f t="shared" si="6"/>
        <v>240</v>
      </c>
      <c r="Q18" s="88">
        <f t="shared" si="5"/>
        <v>0.3</v>
      </c>
      <c r="R18" s="88">
        <f t="shared" si="5"/>
        <v>0.3</v>
      </c>
      <c r="S18" s="88">
        <f t="shared" si="3"/>
        <v>0.2</v>
      </c>
      <c r="T18" s="88">
        <f t="shared" si="3"/>
        <v>0.2</v>
      </c>
      <c r="U18" s="87">
        <f t="shared" si="7"/>
        <v>1</v>
      </c>
      <c r="V18" s="89" t="s">
        <v>193</v>
      </c>
      <c r="W18" s="90">
        <f t="shared" si="4"/>
        <v>0.99657064471879286</v>
      </c>
    </row>
    <row r="20" spans="1:23" x14ac:dyDescent="0.25">
      <c r="A20" s="20" t="s">
        <v>210</v>
      </c>
    </row>
    <row r="21" spans="1:23" x14ac:dyDescent="0.25">
      <c r="A21" s="683" t="s">
        <v>211</v>
      </c>
      <c r="B21" s="683"/>
      <c r="C21" s="683"/>
      <c r="D21" s="683"/>
      <c r="E21" s="683"/>
      <c r="F21" s="683"/>
      <c r="G21" s="683"/>
      <c r="H21" s="683"/>
      <c r="I21" s="683"/>
      <c r="J21" s="683"/>
      <c r="K21" s="683"/>
      <c r="L21" s="683"/>
      <c r="M21" s="683"/>
    </row>
    <row r="22" spans="1:23" x14ac:dyDescent="0.25">
      <c r="A22" s="683"/>
      <c r="B22" s="683"/>
      <c r="C22" s="683"/>
      <c r="D22" s="683"/>
      <c r="E22" s="683"/>
      <c r="F22" s="683"/>
      <c r="G22" s="683"/>
      <c r="H22" s="683"/>
      <c r="I22" s="683"/>
      <c r="J22" s="683"/>
      <c r="K22" s="683"/>
      <c r="L22" s="683"/>
      <c r="M22" s="683"/>
    </row>
    <row r="23" spans="1:23" x14ac:dyDescent="0.25">
      <c r="A23" s="683"/>
      <c r="B23" s="683"/>
      <c r="C23" s="683"/>
      <c r="D23" s="683"/>
      <c r="E23" s="683"/>
      <c r="F23" s="683"/>
      <c r="G23" s="683"/>
      <c r="H23" s="683"/>
      <c r="I23" s="683"/>
      <c r="J23" s="683"/>
      <c r="K23" s="683"/>
      <c r="L23" s="683"/>
      <c r="M23" s="683"/>
    </row>
    <row r="24" spans="1:23" x14ac:dyDescent="0.25">
      <c r="A24" s="683"/>
      <c r="B24" s="683"/>
      <c r="C24" s="683"/>
      <c r="D24" s="683"/>
      <c r="E24" s="683"/>
      <c r="F24" s="683"/>
      <c r="G24" s="683"/>
      <c r="H24" s="683"/>
      <c r="I24" s="683"/>
      <c r="J24" s="683"/>
      <c r="K24" s="683"/>
      <c r="L24" s="683"/>
      <c r="M24" s="683"/>
    </row>
    <row r="25" spans="1:23" x14ac:dyDescent="0.25">
      <c r="A25" s="683"/>
      <c r="B25" s="683"/>
      <c r="C25" s="683"/>
      <c r="D25" s="683"/>
      <c r="E25" s="683"/>
      <c r="F25" s="683"/>
      <c r="G25" s="683"/>
      <c r="H25" s="683"/>
      <c r="I25" s="683"/>
      <c r="J25" s="683"/>
      <c r="K25" s="683"/>
      <c r="L25" s="683"/>
      <c r="M25" s="683"/>
    </row>
    <row r="27" spans="1:23" x14ac:dyDescent="0.25">
      <c r="A27" s="20" t="s">
        <v>212</v>
      </c>
    </row>
    <row r="28" spans="1:23" x14ac:dyDescent="0.25">
      <c r="A28" s="683" t="s">
        <v>305</v>
      </c>
      <c r="B28" s="683"/>
      <c r="C28" s="683"/>
      <c r="D28" s="683"/>
      <c r="E28" s="683"/>
      <c r="F28" s="683"/>
      <c r="G28" s="683"/>
      <c r="H28" s="683"/>
      <c r="I28" s="683"/>
      <c r="J28" s="683"/>
      <c r="K28" s="683"/>
      <c r="L28" s="683"/>
      <c r="M28" s="683"/>
    </row>
    <row r="29" spans="1:23" x14ac:dyDescent="0.25">
      <c r="A29" s="683"/>
      <c r="B29" s="683"/>
      <c r="C29" s="683"/>
      <c r="D29" s="683"/>
      <c r="E29" s="683"/>
      <c r="F29" s="683"/>
      <c r="G29" s="683"/>
      <c r="H29" s="683"/>
      <c r="I29" s="683"/>
      <c r="J29" s="683"/>
      <c r="K29" s="683"/>
      <c r="L29" s="683"/>
      <c r="M29" s="683"/>
    </row>
    <row r="30" spans="1:23" x14ac:dyDescent="0.25">
      <c r="A30" s="683"/>
      <c r="B30" s="683"/>
      <c r="C30" s="683"/>
      <c r="D30" s="683"/>
      <c r="E30" s="683"/>
      <c r="F30" s="683"/>
      <c r="G30" s="683"/>
      <c r="H30" s="683"/>
      <c r="I30" s="683"/>
      <c r="J30" s="683"/>
      <c r="K30" s="683"/>
      <c r="L30" s="683"/>
      <c r="M30" s="683"/>
    </row>
    <row r="31" spans="1:23" x14ac:dyDescent="0.25">
      <c r="A31" s="683"/>
      <c r="B31" s="683"/>
      <c r="C31" s="683"/>
      <c r="D31" s="683"/>
      <c r="E31" s="683"/>
      <c r="F31" s="683"/>
      <c r="G31" s="683"/>
      <c r="H31" s="683"/>
      <c r="I31" s="683"/>
      <c r="J31" s="683"/>
      <c r="K31" s="683"/>
      <c r="L31" s="683"/>
      <c r="M31" s="683"/>
    </row>
    <row r="32" spans="1:23" x14ac:dyDescent="0.25">
      <c r="A32" s="683"/>
      <c r="B32" s="683"/>
      <c r="C32" s="683"/>
      <c r="D32" s="683"/>
      <c r="E32" s="683"/>
      <c r="F32" s="683"/>
      <c r="G32" s="683"/>
      <c r="H32" s="683"/>
      <c r="I32" s="683"/>
      <c r="J32" s="683"/>
      <c r="K32" s="683"/>
      <c r="L32" s="683"/>
      <c r="M32" s="683"/>
    </row>
    <row r="34" spans="1:7" ht="15.75" thickBot="1" x14ac:dyDescent="0.3">
      <c r="A34" s="100" t="s">
        <v>213</v>
      </c>
    </row>
    <row r="35" spans="1:7" x14ac:dyDescent="0.25">
      <c r="A35" s="692" t="s">
        <v>214</v>
      </c>
      <c r="B35" s="688" t="s">
        <v>215</v>
      </c>
      <c r="C35" s="690" t="s">
        <v>216</v>
      </c>
      <c r="D35" s="688" t="s">
        <v>217</v>
      </c>
      <c r="E35" s="101" t="s">
        <v>218</v>
      </c>
    </row>
    <row r="36" spans="1:7" x14ac:dyDescent="0.25">
      <c r="A36" s="693"/>
      <c r="B36" s="689"/>
      <c r="C36" s="691"/>
      <c r="D36" s="689"/>
      <c r="E36" s="102" t="s">
        <v>219</v>
      </c>
    </row>
    <row r="37" spans="1:7" ht="30.75" thickBot="1" x14ac:dyDescent="0.3">
      <c r="A37" s="103"/>
      <c r="B37" s="104" t="s">
        <v>220</v>
      </c>
      <c r="C37" s="105" t="s">
        <v>221</v>
      </c>
      <c r="D37" s="104" t="s">
        <v>222</v>
      </c>
      <c r="E37" s="104" t="s">
        <v>221</v>
      </c>
    </row>
    <row r="38" spans="1:7" ht="15.75" thickBot="1" x14ac:dyDescent="0.3">
      <c r="A38" s="103" t="s">
        <v>223</v>
      </c>
      <c r="B38" s="106">
        <v>214</v>
      </c>
      <c r="C38" s="107" t="s">
        <v>224</v>
      </c>
      <c r="D38" s="106">
        <v>183</v>
      </c>
      <c r="E38" s="106" t="s">
        <v>224</v>
      </c>
    </row>
    <row r="39" spans="1:7" ht="15.75" thickBot="1" x14ac:dyDescent="0.3">
      <c r="A39" s="103" t="s">
        <v>225</v>
      </c>
      <c r="B39" s="106">
        <v>284</v>
      </c>
      <c r="C39" s="107">
        <v>634</v>
      </c>
      <c r="D39" s="106">
        <v>204</v>
      </c>
      <c r="E39" s="108">
        <v>180040</v>
      </c>
    </row>
    <row r="40" spans="1:7" ht="15.75" thickBot="1" x14ac:dyDescent="0.3">
      <c r="A40" s="103" t="s">
        <v>226</v>
      </c>
      <c r="B40" s="106">
        <v>155</v>
      </c>
      <c r="C40" s="107">
        <v>620</v>
      </c>
      <c r="D40" s="106">
        <v>203</v>
      </c>
      <c r="E40" s="108">
        <v>96075</v>
      </c>
    </row>
    <row r="41" spans="1:7" ht="15.75" thickBot="1" x14ac:dyDescent="0.3">
      <c r="A41" s="103" t="s">
        <v>227</v>
      </c>
      <c r="B41" s="106">
        <v>332</v>
      </c>
      <c r="C41" s="107">
        <v>587</v>
      </c>
      <c r="D41" s="106">
        <v>190</v>
      </c>
      <c r="E41" s="108">
        <v>194905</v>
      </c>
    </row>
    <row r="42" spans="1:7" ht="15.75" thickBot="1" x14ac:dyDescent="0.3">
      <c r="A42" s="103" t="s">
        <v>228</v>
      </c>
      <c r="B42" s="106">
        <v>1</v>
      </c>
      <c r="C42" s="107">
        <v>574</v>
      </c>
      <c r="D42" s="106">
        <v>178</v>
      </c>
      <c r="E42" s="106">
        <v>574</v>
      </c>
    </row>
    <row r="43" spans="1:7" x14ac:dyDescent="0.25">
      <c r="A43" s="109" t="s">
        <v>229</v>
      </c>
    </row>
    <row r="45" spans="1:7" ht="15.75" thickBot="1" x14ac:dyDescent="0.3">
      <c r="A45" s="110" t="s">
        <v>230</v>
      </c>
    </row>
    <row r="46" spans="1:7" ht="30" x14ac:dyDescent="0.25">
      <c r="A46" s="686"/>
      <c r="B46" s="688" t="s">
        <v>215</v>
      </c>
      <c r="C46" s="101" t="s">
        <v>231</v>
      </c>
      <c r="D46" s="688" t="s">
        <v>217</v>
      </c>
      <c r="E46" s="690" t="s">
        <v>232</v>
      </c>
      <c r="F46" s="111" t="s">
        <v>233</v>
      </c>
      <c r="G46" s="101" t="s">
        <v>234</v>
      </c>
    </row>
    <row r="47" spans="1:7" x14ac:dyDescent="0.25">
      <c r="A47" s="687"/>
      <c r="B47" s="689"/>
      <c r="C47" s="102" t="s">
        <v>235</v>
      </c>
      <c r="D47" s="689"/>
      <c r="E47" s="691"/>
      <c r="F47" s="112" t="s">
        <v>236</v>
      </c>
      <c r="G47" s="102" t="s">
        <v>237</v>
      </c>
    </row>
    <row r="48" spans="1:7" ht="30.75" thickBot="1" x14ac:dyDescent="0.3">
      <c r="A48" s="113" t="s">
        <v>238</v>
      </c>
      <c r="B48" s="104" t="s">
        <v>220</v>
      </c>
      <c r="C48" s="104" t="s">
        <v>221</v>
      </c>
      <c r="D48" s="104" t="s">
        <v>222</v>
      </c>
      <c r="E48" s="105" t="s">
        <v>221</v>
      </c>
      <c r="F48" s="114" t="s">
        <v>221</v>
      </c>
      <c r="G48" s="104" t="s">
        <v>221</v>
      </c>
    </row>
    <row r="49" spans="1:7" ht="15.75" thickBot="1" x14ac:dyDescent="0.3">
      <c r="A49" s="113" t="s">
        <v>239</v>
      </c>
      <c r="B49" s="115">
        <v>22</v>
      </c>
      <c r="C49" s="116">
        <v>17948</v>
      </c>
      <c r="D49" s="115">
        <v>211</v>
      </c>
      <c r="E49" s="107">
        <v>442</v>
      </c>
      <c r="F49" s="117">
        <v>81</v>
      </c>
      <c r="G49" s="116">
        <v>5671</v>
      </c>
    </row>
    <row r="50" spans="1:7" ht="15.75" thickBot="1" x14ac:dyDescent="0.3">
      <c r="A50" s="113" t="s">
        <v>240</v>
      </c>
      <c r="B50" s="115">
        <v>17</v>
      </c>
      <c r="C50" s="116">
        <v>8141</v>
      </c>
      <c r="D50" s="115">
        <v>251</v>
      </c>
      <c r="E50" s="107">
        <v>324</v>
      </c>
      <c r="F50" s="117">
        <v>136</v>
      </c>
      <c r="G50" s="116">
        <v>1226</v>
      </c>
    </row>
    <row r="51" spans="1:7" ht="15.75" thickBot="1" x14ac:dyDescent="0.3">
      <c r="A51" s="118" t="s">
        <v>241</v>
      </c>
      <c r="B51" s="107">
        <v>101</v>
      </c>
      <c r="C51" s="116">
        <v>48060</v>
      </c>
      <c r="D51" s="115">
        <v>225</v>
      </c>
      <c r="E51" s="107">
        <v>395</v>
      </c>
      <c r="F51" s="117">
        <v>131</v>
      </c>
      <c r="G51" s="116">
        <v>1804</v>
      </c>
    </row>
    <row r="52" spans="1:7" ht="15.75" thickBot="1" x14ac:dyDescent="0.3">
      <c r="A52" s="118" t="s">
        <v>242</v>
      </c>
      <c r="B52" s="107">
        <v>53</v>
      </c>
      <c r="C52" s="116">
        <v>25718</v>
      </c>
      <c r="D52" s="115">
        <v>229</v>
      </c>
      <c r="E52" s="107">
        <v>500</v>
      </c>
      <c r="F52" s="117">
        <v>157</v>
      </c>
      <c r="G52" s="116">
        <v>1198</v>
      </c>
    </row>
    <row r="53" spans="1:7" ht="15.75" thickBot="1" x14ac:dyDescent="0.3">
      <c r="A53" s="113" t="s">
        <v>243</v>
      </c>
      <c r="B53" s="115">
        <v>91</v>
      </c>
      <c r="C53" s="116">
        <v>80173</v>
      </c>
      <c r="D53" s="115">
        <v>178</v>
      </c>
      <c r="E53" s="107">
        <v>760</v>
      </c>
      <c r="F53" s="117">
        <v>132</v>
      </c>
      <c r="G53" s="116">
        <v>6591</v>
      </c>
    </row>
    <row r="54" spans="1:7" ht="15.75" thickBot="1" x14ac:dyDescent="0.3">
      <c r="A54" s="113" t="s">
        <v>244</v>
      </c>
      <c r="B54" s="119">
        <v>284</v>
      </c>
      <c r="C54" s="120">
        <v>180040</v>
      </c>
      <c r="D54" s="119">
        <v>204</v>
      </c>
      <c r="E54" s="121">
        <v>500</v>
      </c>
      <c r="F54" s="122">
        <v>81</v>
      </c>
      <c r="G54" s="120">
        <v>6591</v>
      </c>
    </row>
  </sheetData>
  <mergeCells count="10">
    <mergeCell ref="A46:A47"/>
    <mergeCell ref="B46:B47"/>
    <mergeCell ref="D46:D47"/>
    <mergeCell ref="E46:E47"/>
    <mergeCell ref="A21:M25"/>
    <mergeCell ref="A28:M32"/>
    <mergeCell ref="A35:A36"/>
    <mergeCell ref="B35:B36"/>
    <mergeCell ref="C35:C36"/>
    <mergeCell ref="D35:D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9"/>
  <sheetViews>
    <sheetView topLeftCell="A115" zoomScale="90" zoomScaleNormal="90" workbookViewId="0">
      <pane xSplit="2" topLeftCell="C1" activePane="topRight" state="frozen"/>
      <selection pane="topRight" activeCell="F134" sqref="F134"/>
    </sheetView>
  </sheetViews>
  <sheetFormatPr baseColWidth="10" defaultColWidth="8.85546875" defaultRowHeight="12.75" x14ac:dyDescent="0.2"/>
  <cols>
    <col min="1" max="1" width="28" style="201" customWidth="1"/>
    <col min="2" max="2" width="17" style="201" customWidth="1"/>
    <col min="3" max="16" width="13.7109375" style="201" customWidth="1"/>
    <col min="17" max="16384" width="8.85546875" style="201"/>
  </cols>
  <sheetData>
    <row r="1" spans="1:18" x14ac:dyDescent="0.2">
      <c r="A1" s="202" t="s">
        <v>327</v>
      </c>
    </row>
    <row r="3" spans="1:18" x14ac:dyDescent="0.2">
      <c r="A3" s="202" t="s">
        <v>307</v>
      </c>
      <c r="B3" s="202" t="s">
        <v>329</v>
      </c>
    </row>
    <row r="4" spans="1:18" x14ac:dyDescent="0.2">
      <c r="A4" s="203" t="s">
        <v>308</v>
      </c>
      <c r="B4" s="203" t="s">
        <v>358</v>
      </c>
      <c r="C4" s="201" t="s">
        <v>360</v>
      </c>
    </row>
    <row r="5" spans="1:18" x14ac:dyDescent="0.2">
      <c r="A5" s="203" t="s">
        <v>309</v>
      </c>
      <c r="B5" s="203" t="s">
        <v>350</v>
      </c>
      <c r="C5" s="201" t="s">
        <v>360</v>
      </c>
    </row>
    <row r="6" spans="1:18" x14ac:dyDescent="0.2">
      <c r="A6" s="203" t="s">
        <v>310</v>
      </c>
      <c r="B6" s="203" t="s">
        <v>359</v>
      </c>
      <c r="C6" s="201" t="s">
        <v>360</v>
      </c>
    </row>
    <row r="8" spans="1:18" x14ac:dyDescent="0.2">
      <c r="A8" s="20" t="s">
        <v>347</v>
      </c>
    </row>
    <row r="9" spans="1:18" x14ac:dyDescent="0.2">
      <c r="A9" s="201" t="s">
        <v>346</v>
      </c>
    </row>
    <row r="10" spans="1:18" x14ac:dyDescent="0.2">
      <c r="A10" s="201" t="s">
        <v>348</v>
      </c>
      <c r="C10" s="204"/>
      <c r="D10" s="204"/>
      <c r="E10" s="204"/>
    </row>
    <row r="11" spans="1:18" x14ac:dyDescent="0.2">
      <c r="A11" s="205" t="s">
        <v>349</v>
      </c>
      <c r="C11" s="204"/>
      <c r="D11" s="204"/>
      <c r="E11" s="204"/>
    </row>
    <row r="12" spans="1:18" x14ac:dyDescent="0.2">
      <c r="A12" s="201" t="s">
        <v>245</v>
      </c>
      <c r="C12" s="204"/>
      <c r="D12" s="204"/>
      <c r="E12" s="204"/>
    </row>
    <row r="13" spans="1:18" x14ac:dyDescent="0.2">
      <c r="A13" s="202"/>
      <c r="C13" s="204"/>
      <c r="D13" s="204"/>
      <c r="E13" s="204"/>
    </row>
    <row r="14" spans="1:18" x14ac:dyDescent="0.2">
      <c r="A14" s="202" t="s">
        <v>345</v>
      </c>
      <c r="C14" s="123" t="s">
        <v>7</v>
      </c>
      <c r="D14" s="123" t="s">
        <v>7</v>
      </c>
      <c r="E14" s="124" t="s">
        <v>247</v>
      </c>
      <c r="F14" s="124" t="s">
        <v>247</v>
      </c>
      <c r="G14" s="125" t="s">
        <v>6</v>
      </c>
      <c r="H14" s="125" t="s">
        <v>6</v>
      </c>
      <c r="I14" s="126" t="s">
        <v>10</v>
      </c>
      <c r="J14" s="126" t="s">
        <v>10</v>
      </c>
      <c r="K14" s="127" t="s">
        <v>9</v>
      </c>
      <c r="L14" s="127" t="s">
        <v>9</v>
      </c>
      <c r="M14" s="128" t="s">
        <v>248</v>
      </c>
      <c r="N14" s="128" t="s">
        <v>248</v>
      </c>
      <c r="O14" s="129" t="s">
        <v>123</v>
      </c>
      <c r="P14" s="129" t="s">
        <v>123</v>
      </c>
      <c r="Q14" s="130" t="s">
        <v>249</v>
      </c>
      <c r="R14" s="206"/>
    </row>
    <row r="15" spans="1:18" x14ac:dyDescent="0.2">
      <c r="A15" s="202" t="s">
        <v>246</v>
      </c>
      <c r="C15" s="123" t="s">
        <v>251</v>
      </c>
      <c r="D15" s="123" t="s">
        <v>250</v>
      </c>
      <c r="E15" s="124" t="s">
        <v>251</v>
      </c>
      <c r="F15" s="124" t="s">
        <v>250</v>
      </c>
      <c r="G15" s="125" t="s">
        <v>251</v>
      </c>
      <c r="H15" s="125" t="s">
        <v>250</v>
      </c>
      <c r="I15" s="126" t="s">
        <v>251</v>
      </c>
      <c r="J15" s="126" t="s">
        <v>250</v>
      </c>
      <c r="K15" s="127" t="s">
        <v>251</v>
      </c>
      <c r="L15" s="131" t="s">
        <v>250</v>
      </c>
      <c r="M15" s="128" t="s">
        <v>251</v>
      </c>
      <c r="N15" s="132" t="s">
        <v>250</v>
      </c>
      <c r="O15" s="133" t="s">
        <v>251</v>
      </c>
      <c r="P15" s="129" t="s">
        <v>250</v>
      </c>
      <c r="R15" s="206"/>
    </row>
    <row r="16" spans="1:18" ht="6" customHeight="1" x14ac:dyDescent="0.2">
      <c r="G16" s="135">
        <v>0.2</v>
      </c>
    </row>
    <row r="17" spans="1:17" x14ac:dyDescent="0.2">
      <c r="A17" s="201" t="s">
        <v>12</v>
      </c>
      <c r="C17" s="207">
        <v>0.2</v>
      </c>
      <c r="D17" s="207">
        <v>0.2</v>
      </c>
      <c r="E17" s="134">
        <v>0.2</v>
      </c>
      <c r="F17" s="207">
        <v>0.2</v>
      </c>
      <c r="G17" s="137" t="s">
        <v>254</v>
      </c>
      <c r="H17" s="208">
        <v>0.2</v>
      </c>
      <c r="I17" s="136">
        <v>0.2</v>
      </c>
      <c r="J17" s="136">
        <v>0.2</v>
      </c>
      <c r="K17" s="136">
        <v>0.2</v>
      </c>
      <c r="L17" s="136">
        <v>0.2</v>
      </c>
      <c r="M17" s="136">
        <v>0.2</v>
      </c>
      <c r="N17" s="136">
        <v>0.2</v>
      </c>
      <c r="O17" s="136">
        <v>0.2</v>
      </c>
      <c r="P17" s="136">
        <v>0.2</v>
      </c>
      <c r="Q17" s="136"/>
    </row>
    <row r="18" spans="1:17" x14ac:dyDescent="0.2">
      <c r="A18" s="201" t="s">
        <v>252</v>
      </c>
      <c r="C18" s="137" t="s">
        <v>253</v>
      </c>
      <c r="D18" s="209">
        <v>0.18</v>
      </c>
      <c r="E18" s="137" t="s">
        <v>253</v>
      </c>
      <c r="F18" s="209">
        <v>0.18</v>
      </c>
      <c r="G18" s="137" t="s">
        <v>257</v>
      </c>
      <c r="H18" s="209">
        <v>0.22</v>
      </c>
      <c r="I18" s="141">
        <v>0.3</v>
      </c>
      <c r="J18" s="209">
        <v>0.3</v>
      </c>
      <c r="K18" s="137" t="s">
        <v>303</v>
      </c>
      <c r="L18" s="137" t="s">
        <v>303</v>
      </c>
      <c r="M18" s="137" t="s">
        <v>255</v>
      </c>
      <c r="N18" s="212" t="s">
        <v>356</v>
      </c>
      <c r="O18" s="137" t="s">
        <v>357</v>
      </c>
      <c r="P18" s="137" t="s">
        <v>357</v>
      </c>
      <c r="Q18" s="209"/>
    </row>
    <row r="19" spans="1:17" x14ac:dyDescent="0.2">
      <c r="A19" s="201" t="s">
        <v>256</v>
      </c>
      <c r="C19" s="138">
        <v>0.15</v>
      </c>
      <c r="D19" s="209">
        <v>0.15</v>
      </c>
      <c r="E19" s="138">
        <v>0.15</v>
      </c>
      <c r="F19" s="209">
        <v>0.15</v>
      </c>
      <c r="G19" s="139">
        <v>0.14000000000000001</v>
      </c>
      <c r="H19" s="209">
        <v>0.15</v>
      </c>
      <c r="I19" s="137" t="s">
        <v>258</v>
      </c>
      <c r="J19" s="209">
        <v>0.3</v>
      </c>
      <c r="K19" s="197">
        <v>0.3</v>
      </c>
      <c r="L19" s="197">
        <v>0.3</v>
      </c>
      <c r="M19" s="212" t="s">
        <v>259</v>
      </c>
      <c r="N19" s="211">
        <v>0.6</v>
      </c>
      <c r="O19" s="211">
        <v>0.6</v>
      </c>
      <c r="P19" s="212" t="s">
        <v>260</v>
      </c>
      <c r="Q19" s="173" t="s">
        <v>261</v>
      </c>
    </row>
    <row r="20" spans="1:17" x14ac:dyDescent="0.2">
      <c r="A20" s="201" t="s">
        <v>262</v>
      </c>
      <c r="C20" s="137" t="s">
        <v>263</v>
      </c>
      <c r="D20" s="209">
        <v>0.13</v>
      </c>
      <c r="E20" s="137" t="s">
        <v>263</v>
      </c>
      <c r="F20" s="209">
        <v>0.13</v>
      </c>
      <c r="G20" s="140">
        <v>1.6</v>
      </c>
      <c r="H20" s="209">
        <v>0.15</v>
      </c>
      <c r="I20" s="137" t="s">
        <v>264</v>
      </c>
      <c r="J20" s="209">
        <v>0.2</v>
      </c>
      <c r="K20" s="137" t="s">
        <v>355</v>
      </c>
      <c r="L20" s="137" t="s">
        <v>354</v>
      </c>
      <c r="M20" s="211">
        <v>0.33</v>
      </c>
      <c r="N20" s="213">
        <v>0.81</v>
      </c>
      <c r="O20" s="211">
        <v>1</v>
      </c>
      <c r="P20" s="211">
        <v>0.81</v>
      </c>
      <c r="Q20" s="209"/>
    </row>
    <row r="21" spans="1:17" x14ac:dyDescent="0.2">
      <c r="A21" s="201" t="s">
        <v>265</v>
      </c>
      <c r="C21" s="214">
        <v>1.2</v>
      </c>
      <c r="D21" s="214">
        <v>1.2</v>
      </c>
      <c r="E21" s="140">
        <v>1.2</v>
      </c>
      <c r="F21" s="214">
        <v>1.2</v>
      </c>
      <c r="G21" s="143" t="s">
        <v>269</v>
      </c>
      <c r="H21" s="214">
        <v>2</v>
      </c>
      <c r="I21" s="141" t="s">
        <v>266</v>
      </c>
      <c r="J21" s="214">
        <v>2.4</v>
      </c>
      <c r="K21" s="198">
        <v>2.8</v>
      </c>
      <c r="L21" s="198">
        <v>2.8</v>
      </c>
      <c r="M21" s="215">
        <v>2.8</v>
      </c>
      <c r="N21" s="215">
        <v>2.8</v>
      </c>
      <c r="O21" s="215">
        <v>2.8</v>
      </c>
      <c r="P21" s="215">
        <v>2.8</v>
      </c>
      <c r="Q21" s="209"/>
    </row>
    <row r="22" spans="1:17" x14ac:dyDescent="0.2">
      <c r="A22" s="201" t="s">
        <v>267</v>
      </c>
      <c r="C22" s="142" t="s">
        <v>268</v>
      </c>
      <c r="D22" s="216" t="s">
        <v>351</v>
      </c>
      <c r="E22" s="142" t="s">
        <v>268</v>
      </c>
      <c r="F22" s="216" t="s">
        <v>351</v>
      </c>
      <c r="G22" s="143" t="s">
        <v>275</v>
      </c>
      <c r="H22" s="217" t="s">
        <v>351</v>
      </c>
      <c r="I22" s="143" t="s">
        <v>269</v>
      </c>
      <c r="J22" s="143" t="s">
        <v>270</v>
      </c>
      <c r="K22" s="143" t="s">
        <v>269</v>
      </c>
      <c r="L22" s="143" t="s">
        <v>270</v>
      </c>
      <c r="M22" s="143" t="s">
        <v>269</v>
      </c>
      <c r="N22" s="147" t="s">
        <v>271</v>
      </c>
      <c r="O22" s="147" t="s">
        <v>272</v>
      </c>
      <c r="P22" s="143" t="s">
        <v>269</v>
      </c>
      <c r="Q22" s="144"/>
    </row>
    <row r="23" spans="1:17" x14ac:dyDescent="0.2">
      <c r="A23" s="201" t="s">
        <v>13</v>
      </c>
      <c r="C23" s="216" t="s">
        <v>273</v>
      </c>
      <c r="D23" s="216">
        <v>1.5</v>
      </c>
      <c r="E23" s="142" t="s">
        <v>273</v>
      </c>
      <c r="F23" s="216">
        <v>1.5</v>
      </c>
      <c r="G23" s="145" t="s">
        <v>279</v>
      </c>
      <c r="H23" s="147" t="s">
        <v>274</v>
      </c>
      <c r="I23" s="143" t="s">
        <v>275</v>
      </c>
      <c r="J23" s="143" t="s">
        <v>274</v>
      </c>
      <c r="K23" s="143" t="s">
        <v>361</v>
      </c>
      <c r="L23" s="143" t="s">
        <v>276</v>
      </c>
      <c r="M23" s="143" t="s">
        <v>361</v>
      </c>
      <c r="N23" s="147" t="s">
        <v>276</v>
      </c>
      <c r="O23" s="147" t="s">
        <v>276</v>
      </c>
      <c r="P23" s="143" t="s">
        <v>361</v>
      </c>
      <c r="Q23" s="144" t="s">
        <v>277</v>
      </c>
    </row>
    <row r="24" spans="1:17" x14ac:dyDescent="0.2">
      <c r="A24" s="201" t="s">
        <v>278</v>
      </c>
      <c r="C24" s="144" t="s">
        <v>279</v>
      </c>
      <c r="D24" s="218" t="s">
        <v>280</v>
      </c>
      <c r="E24" s="144" t="s">
        <v>279</v>
      </c>
      <c r="F24" s="218" t="s">
        <v>280</v>
      </c>
      <c r="G24" s="146">
        <v>0</v>
      </c>
      <c r="H24" s="219" t="s">
        <v>280</v>
      </c>
      <c r="I24" s="145" t="s">
        <v>279</v>
      </c>
      <c r="J24" s="147" t="s">
        <v>412</v>
      </c>
      <c r="K24" s="145" t="s">
        <v>413</v>
      </c>
      <c r="L24" s="148" t="s">
        <v>413</v>
      </c>
      <c r="M24" s="145" t="s">
        <v>413</v>
      </c>
      <c r="N24" s="147">
        <v>2</v>
      </c>
      <c r="O24" s="147">
        <v>2</v>
      </c>
      <c r="P24" s="145" t="s">
        <v>413</v>
      </c>
      <c r="Q24" s="145"/>
    </row>
    <row r="25" spans="1:17" x14ac:dyDescent="0.2">
      <c r="A25" s="201" t="s">
        <v>14</v>
      </c>
      <c r="C25" s="134">
        <v>0.7</v>
      </c>
      <c r="D25" s="220" t="s">
        <v>281</v>
      </c>
      <c r="E25" s="134">
        <v>0.7</v>
      </c>
      <c r="F25" s="207">
        <v>0.7</v>
      </c>
      <c r="G25" s="145" t="s">
        <v>282</v>
      </c>
      <c r="H25" s="221">
        <v>0.65</v>
      </c>
      <c r="I25" s="146">
        <v>0</v>
      </c>
      <c r="J25" s="221">
        <v>0.6</v>
      </c>
      <c r="K25" s="146">
        <v>0</v>
      </c>
      <c r="L25" s="221">
        <v>0</v>
      </c>
      <c r="M25" s="146">
        <v>0</v>
      </c>
      <c r="N25" s="221">
        <v>0</v>
      </c>
      <c r="O25" s="221">
        <v>0</v>
      </c>
      <c r="P25" s="146">
        <v>0</v>
      </c>
      <c r="Q25" s="143"/>
    </row>
    <row r="26" spans="1:17" ht="14.25" x14ac:dyDescent="0.2">
      <c r="A26" s="201" t="s">
        <v>352</v>
      </c>
      <c r="C26" s="222">
        <v>-10</v>
      </c>
      <c r="D26" s="222">
        <v>-10</v>
      </c>
      <c r="E26" s="222">
        <v>-6</v>
      </c>
      <c r="F26" s="222">
        <v>-6</v>
      </c>
      <c r="G26" s="145" t="s">
        <v>282</v>
      </c>
      <c r="H26" s="199">
        <v>-2</v>
      </c>
      <c r="I26" s="145" t="s">
        <v>282</v>
      </c>
      <c r="J26" s="222">
        <v>-2</v>
      </c>
      <c r="K26" s="145" t="s">
        <v>282</v>
      </c>
      <c r="L26" s="222" t="s">
        <v>16</v>
      </c>
      <c r="M26" s="145" t="s">
        <v>282</v>
      </c>
      <c r="N26" s="145" t="s">
        <v>282</v>
      </c>
      <c r="O26" s="145" t="s">
        <v>282</v>
      </c>
      <c r="P26" s="145" t="s">
        <v>282</v>
      </c>
      <c r="Q26" s="143"/>
    </row>
    <row r="27" spans="1:17" x14ac:dyDescent="0.2">
      <c r="A27" s="201" t="s">
        <v>283</v>
      </c>
      <c r="C27" s="142">
        <v>2.5</v>
      </c>
      <c r="D27" s="216">
        <v>2</v>
      </c>
      <c r="E27" s="142">
        <v>2.5</v>
      </c>
      <c r="F27" s="216">
        <v>2</v>
      </c>
      <c r="G27" s="143" t="s">
        <v>285</v>
      </c>
      <c r="H27" s="147">
        <v>3.5</v>
      </c>
      <c r="I27" s="145" t="s">
        <v>282</v>
      </c>
      <c r="J27" s="147">
        <v>4</v>
      </c>
      <c r="K27" s="145" t="s">
        <v>282</v>
      </c>
      <c r="L27" s="147">
        <v>2</v>
      </c>
      <c r="M27" s="145" t="s">
        <v>282</v>
      </c>
      <c r="N27" s="145" t="s">
        <v>282</v>
      </c>
      <c r="O27" s="145" t="s">
        <v>282</v>
      </c>
      <c r="P27" s="145" t="s">
        <v>282</v>
      </c>
      <c r="Q27" s="143"/>
    </row>
    <row r="28" spans="1:17" x14ac:dyDescent="0.2">
      <c r="A28" s="201" t="s">
        <v>284</v>
      </c>
      <c r="C28" s="142" t="s">
        <v>285</v>
      </c>
      <c r="D28" s="216" t="s">
        <v>285</v>
      </c>
      <c r="E28" s="142" t="s">
        <v>285</v>
      </c>
      <c r="F28" s="216" t="s">
        <v>285</v>
      </c>
      <c r="G28" s="145" t="s">
        <v>286</v>
      </c>
      <c r="H28" s="219" t="s">
        <v>285</v>
      </c>
      <c r="I28" s="143" t="s">
        <v>285</v>
      </c>
      <c r="J28" s="219" t="s">
        <v>285</v>
      </c>
      <c r="K28" s="147" t="s">
        <v>17</v>
      </c>
      <c r="L28" s="147" t="s">
        <v>17</v>
      </c>
      <c r="M28" s="147" t="s">
        <v>17</v>
      </c>
      <c r="N28" s="147" t="s">
        <v>17</v>
      </c>
      <c r="O28" s="147" t="s">
        <v>17</v>
      </c>
      <c r="P28" s="147" t="s">
        <v>17</v>
      </c>
      <c r="Q28" s="143"/>
    </row>
    <row r="29" spans="1:17" x14ac:dyDescent="0.2">
      <c r="A29" s="201" t="s">
        <v>18</v>
      </c>
      <c r="C29" s="144" t="s">
        <v>286</v>
      </c>
      <c r="D29" s="216" t="s">
        <v>285</v>
      </c>
      <c r="E29" s="144" t="s">
        <v>286</v>
      </c>
      <c r="F29" s="216" t="s">
        <v>285</v>
      </c>
      <c r="G29" s="145" t="s">
        <v>286</v>
      </c>
      <c r="H29" s="147" t="s">
        <v>419</v>
      </c>
      <c r="I29" s="145" t="s">
        <v>286</v>
      </c>
      <c r="J29" s="147" t="s">
        <v>419</v>
      </c>
      <c r="K29" s="145" t="s">
        <v>286</v>
      </c>
      <c r="L29" s="147" t="s">
        <v>17</v>
      </c>
      <c r="M29" s="145" t="s">
        <v>286</v>
      </c>
      <c r="N29" s="147" t="s">
        <v>17</v>
      </c>
      <c r="O29" s="147" t="s">
        <v>17</v>
      </c>
      <c r="P29" s="145" t="s">
        <v>286</v>
      </c>
      <c r="Q29" s="143"/>
    </row>
    <row r="30" spans="1:17" x14ac:dyDescent="0.2">
      <c r="A30" s="201" t="s">
        <v>287</v>
      </c>
      <c r="C30" s="145" t="s">
        <v>286</v>
      </c>
      <c r="D30" s="200" t="s">
        <v>288</v>
      </c>
      <c r="E30" s="145" t="s">
        <v>286</v>
      </c>
      <c r="F30" s="200" t="s">
        <v>288</v>
      </c>
      <c r="G30" s="145" t="s">
        <v>291</v>
      </c>
      <c r="H30" s="200" t="s">
        <v>288</v>
      </c>
      <c r="I30" s="145" t="s">
        <v>286</v>
      </c>
      <c r="J30" s="200" t="s">
        <v>288</v>
      </c>
      <c r="K30" s="145" t="s">
        <v>286</v>
      </c>
      <c r="L30" s="200" t="s">
        <v>288</v>
      </c>
      <c r="M30" s="145" t="s">
        <v>286</v>
      </c>
      <c r="N30" s="200" t="s">
        <v>288</v>
      </c>
      <c r="O30" s="200" t="s">
        <v>288</v>
      </c>
      <c r="P30" s="145" t="s">
        <v>286</v>
      </c>
    </row>
    <row r="31" spans="1:17" x14ac:dyDescent="0.2">
      <c r="A31" s="21" t="s">
        <v>289</v>
      </c>
      <c r="C31" s="144" t="s">
        <v>291</v>
      </c>
      <c r="D31" s="218" t="s">
        <v>290</v>
      </c>
      <c r="E31" s="144" t="s">
        <v>291</v>
      </c>
      <c r="F31" s="218" t="s">
        <v>292</v>
      </c>
      <c r="G31" s="51"/>
      <c r="H31" s="223" t="s">
        <v>292</v>
      </c>
      <c r="I31" s="145" t="s">
        <v>410</v>
      </c>
      <c r="J31" s="223" t="s">
        <v>415</v>
      </c>
      <c r="K31" s="145" t="s">
        <v>410</v>
      </c>
      <c r="L31" s="223" t="s">
        <v>415</v>
      </c>
      <c r="M31" s="145" t="s">
        <v>410</v>
      </c>
      <c r="N31" s="223" t="s">
        <v>415</v>
      </c>
      <c r="O31" s="223" t="s">
        <v>415</v>
      </c>
      <c r="P31" s="145" t="s">
        <v>410</v>
      </c>
    </row>
    <row r="32" spans="1:17" x14ac:dyDescent="0.2">
      <c r="A32" s="21" t="s">
        <v>293</v>
      </c>
      <c r="C32" s="51"/>
      <c r="D32" s="145" t="s">
        <v>294</v>
      </c>
      <c r="E32" s="51"/>
      <c r="F32" s="145" t="s">
        <v>294</v>
      </c>
      <c r="G32" s="51"/>
      <c r="H32" s="200" t="s">
        <v>294</v>
      </c>
      <c r="I32" s="145" t="s">
        <v>410</v>
      </c>
      <c r="J32" s="145" t="s">
        <v>410</v>
      </c>
      <c r="K32" s="145" t="s">
        <v>410</v>
      </c>
      <c r="L32" s="145" t="s">
        <v>410</v>
      </c>
      <c r="M32" s="145" t="s">
        <v>410</v>
      </c>
      <c r="N32" s="145" t="s">
        <v>410</v>
      </c>
      <c r="O32" s="145" t="s">
        <v>410</v>
      </c>
      <c r="P32" s="145" t="s">
        <v>410</v>
      </c>
    </row>
    <row r="33" spans="1:16" x14ac:dyDescent="0.2">
      <c r="A33" s="21" t="s">
        <v>295</v>
      </c>
      <c r="C33" s="51"/>
      <c r="D33" s="145" t="s">
        <v>294</v>
      </c>
      <c r="E33" s="51"/>
      <c r="F33" s="145" t="s">
        <v>294</v>
      </c>
      <c r="G33" s="145" t="s">
        <v>298</v>
      </c>
      <c r="H33" s="200" t="s">
        <v>294</v>
      </c>
      <c r="I33" s="145" t="s">
        <v>410</v>
      </c>
      <c r="J33" s="145" t="s">
        <v>410</v>
      </c>
      <c r="K33" s="145" t="s">
        <v>410</v>
      </c>
      <c r="L33" s="145" t="s">
        <v>410</v>
      </c>
      <c r="M33" s="145" t="s">
        <v>410</v>
      </c>
      <c r="N33" s="145" t="s">
        <v>410</v>
      </c>
      <c r="O33" s="145" t="s">
        <v>410</v>
      </c>
      <c r="P33" s="145" t="s">
        <v>410</v>
      </c>
    </row>
    <row r="34" spans="1:16" x14ac:dyDescent="0.2">
      <c r="A34" s="21" t="s">
        <v>296</v>
      </c>
      <c r="C34" s="144" t="s">
        <v>298</v>
      </c>
      <c r="D34" s="145" t="s">
        <v>297</v>
      </c>
      <c r="E34" s="144" t="s">
        <v>298</v>
      </c>
      <c r="F34" s="145" t="s">
        <v>297</v>
      </c>
      <c r="G34" s="144"/>
      <c r="H34" s="200" t="s">
        <v>297</v>
      </c>
      <c r="I34" s="145" t="s">
        <v>414</v>
      </c>
      <c r="J34" s="145" t="s">
        <v>414</v>
      </c>
      <c r="K34" s="145" t="s">
        <v>414</v>
      </c>
      <c r="L34" s="145" t="s">
        <v>414</v>
      </c>
      <c r="M34" s="145" t="s">
        <v>414</v>
      </c>
      <c r="N34" s="145" t="s">
        <v>414</v>
      </c>
      <c r="O34" s="145" t="s">
        <v>414</v>
      </c>
      <c r="P34" s="145" t="s">
        <v>414</v>
      </c>
    </row>
    <row r="35" spans="1:16" x14ac:dyDescent="0.2">
      <c r="A35" s="21" t="s">
        <v>19</v>
      </c>
      <c r="C35" s="144"/>
      <c r="D35" s="143">
        <v>0.4</v>
      </c>
      <c r="E35" s="144"/>
      <c r="F35" s="143">
        <v>0.4</v>
      </c>
      <c r="G35" s="144"/>
      <c r="H35" s="147">
        <v>0.65</v>
      </c>
      <c r="I35" s="143"/>
      <c r="J35" s="147">
        <v>0.7</v>
      </c>
      <c r="K35" s="143"/>
      <c r="L35" s="148">
        <v>0.75</v>
      </c>
      <c r="M35" s="143"/>
      <c r="N35" s="148">
        <v>0.75</v>
      </c>
      <c r="O35" s="148">
        <v>0.75</v>
      </c>
      <c r="P35" s="143"/>
    </row>
    <row r="36" spans="1:16" x14ac:dyDescent="0.2">
      <c r="A36" s="21" t="s">
        <v>20</v>
      </c>
      <c r="C36" s="144"/>
      <c r="D36" s="143">
        <v>0.08</v>
      </c>
      <c r="E36" s="144"/>
      <c r="F36" s="143">
        <v>0.08</v>
      </c>
      <c r="G36" s="144"/>
      <c r="H36" s="147">
        <v>0.13</v>
      </c>
      <c r="I36" s="144"/>
      <c r="J36" s="147">
        <v>0.13999999999999999</v>
      </c>
      <c r="K36" s="144"/>
      <c r="L36" s="147">
        <v>0.15</v>
      </c>
      <c r="M36" s="144"/>
      <c r="N36" s="147">
        <v>0.15</v>
      </c>
      <c r="O36" s="147">
        <v>0.15</v>
      </c>
      <c r="P36" s="144"/>
    </row>
    <row r="37" spans="1:16" x14ac:dyDescent="0.2">
      <c r="A37" s="21" t="s">
        <v>21</v>
      </c>
      <c r="C37" s="144"/>
      <c r="D37" s="143" t="s">
        <v>299</v>
      </c>
      <c r="E37" s="144"/>
      <c r="F37" s="143" t="s">
        <v>299</v>
      </c>
      <c r="G37" s="59" t="s">
        <v>15</v>
      </c>
      <c r="H37" s="147" t="s">
        <v>17</v>
      </c>
      <c r="I37" s="144"/>
      <c r="J37" s="147" t="s">
        <v>17</v>
      </c>
      <c r="K37" s="144"/>
      <c r="L37" s="147" t="s">
        <v>17</v>
      </c>
      <c r="M37" s="144"/>
      <c r="N37" s="147" t="s">
        <v>17</v>
      </c>
      <c r="O37" s="147" t="s">
        <v>17</v>
      </c>
      <c r="P37" s="144"/>
    </row>
    <row r="38" spans="1:16" x14ac:dyDescent="0.2">
      <c r="A38" s="21"/>
      <c r="C38" s="204"/>
      <c r="D38" s="204"/>
      <c r="E38" s="204"/>
      <c r="F38" s="143"/>
      <c r="G38" s="143"/>
      <c r="H38" s="143"/>
      <c r="I38" s="143"/>
      <c r="J38" s="143"/>
      <c r="M38" s="149"/>
      <c r="N38" s="206"/>
      <c r="O38" s="149"/>
    </row>
    <row r="39" spans="1:16" x14ac:dyDescent="0.2">
      <c r="A39" s="202"/>
      <c r="C39" s="204"/>
      <c r="D39" s="204"/>
      <c r="E39" s="204"/>
    </row>
    <row r="40" spans="1:16" x14ac:dyDescent="0.2">
      <c r="A40" s="202" t="s">
        <v>7</v>
      </c>
      <c r="B40" s="204"/>
      <c r="C40" s="123" t="s">
        <v>7</v>
      </c>
      <c r="D40" s="150" t="str">
        <f>C40</f>
        <v>TEK 10</v>
      </c>
      <c r="E40" s="150" t="str">
        <f>D40</f>
        <v>TEK 10</v>
      </c>
      <c r="F40" s="123" t="s">
        <v>7</v>
      </c>
      <c r="G40" s="150" t="str">
        <f>F40</f>
        <v>TEK 10</v>
      </c>
      <c r="H40" s="150" t="str">
        <f t="shared" ref="H40:P40" si="0">G40</f>
        <v>TEK 10</v>
      </c>
      <c r="I40" s="150" t="str">
        <f t="shared" si="0"/>
        <v>TEK 10</v>
      </c>
      <c r="J40" s="150" t="str">
        <f t="shared" si="0"/>
        <v>TEK 10</v>
      </c>
      <c r="K40" s="150" t="str">
        <f t="shared" si="0"/>
        <v>TEK 10</v>
      </c>
      <c r="L40" s="150" t="str">
        <f t="shared" si="0"/>
        <v>TEK 10</v>
      </c>
      <c r="M40" s="150" t="str">
        <f t="shared" si="0"/>
        <v>TEK 10</v>
      </c>
      <c r="N40" s="150" t="str">
        <f t="shared" si="0"/>
        <v>TEK 10</v>
      </c>
      <c r="O40" s="150" t="str">
        <f t="shared" si="0"/>
        <v>TEK 10</v>
      </c>
      <c r="P40" s="150" t="str">
        <f t="shared" si="0"/>
        <v>TEK 10</v>
      </c>
    </row>
    <row r="41" spans="1:16" x14ac:dyDescent="0.2">
      <c r="A41" s="202" t="s">
        <v>300</v>
      </c>
      <c r="B41" s="204"/>
      <c r="C41" s="151" t="s">
        <v>251</v>
      </c>
      <c r="D41" s="152" t="s">
        <v>11</v>
      </c>
      <c r="E41" s="152" t="s">
        <v>1</v>
      </c>
      <c r="F41" s="153" t="s">
        <v>250</v>
      </c>
      <c r="G41" s="154" t="s">
        <v>97</v>
      </c>
      <c r="H41" s="154" t="s">
        <v>98</v>
      </c>
      <c r="I41" s="154" t="s">
        <v>99</v>
      </c>
      <c r="J41" s="154" t="s">
        <v>100</v>
      </c>
      <c r="K41" s="154" t="s">
        <v>101</v>
      </c>
      <c r="L41" s="154" t="s">
        <v>102</v>
      </c>
      <c r="M41" s="154" t="s">
        <v>103</v>
      </c>
      <c r="N41" s="154" t="s">
        <v>104</v>
      </c>
      <c r="O41" s="154" t="s">
        <v>105</v>
      </c>
      <c r="P41" s="154" t="s">
        <v>106</v>
      </c>
    </row>
    <row r="42" spans="1:16" x14ac:dyDescent="0.2">
      <c r="B42" s="204"/>
    </row>
    <row r="43" spans="1:16" x14ac:dyDescent="0.2">
      <c r="A43" s="201" t="s">
        <v>12</v>
      </c>
      <c r="B43" s="204"/>
      <c r="C43" s="207">
        <v>0.2</v>
      </c>
      <c r="D43" s="208">
        <v>0.2</v>
      </c>
      <c r="E43" s="208">
        <v>0.2</v>
      </c>
      <c r="F43" s="207">
        <v>0.2</v>
      </c>
      <c r="G43" s="135">
        <v>0.2</v>
      </c>
      <c r="H43" s="135">
        <v>0.2</v>
      </c>
      <c r="I43" s="135">
        <v>0.2</v>
      </c>
      <c r="J43" s="135">
        <v>0.2</v>
      </c>
      <c r="K43" s="135">
        <v>0.2</v>
      </c>
      <c r="L43" s="135">
        <v>0.2</v>
      </c>
      <c r="M43" s="135">
        <v>0.2</v>
      </c>
      <c r="N43" s="135">
        <v>0.2</v>
      </c>
      <c r="O43" s="135">
        <v>0.2</v>
      </c>
      <c r="P43" s="135">
        <v>0.2</v>
      </c>
    </row>
    <row r="44" spans="1:16" x14ac:dyDescent="0.2">
      <c r="A44" s="201" t="s">
        <v>252</v>
      </c>
      <c r="B44" s="204"/>
      <c r="C44" s="137" t="s">
        <v>253</v>
      </c>
      <c r="D44" s="138">
        <v>0.17</v>
      </c>
      <c r="E44" s="138">
        <v>0.22</v>
      </c>
      <c r="F44" s="209">
        <v>0.18</v>
      </c>
      <c r="G44" s="138">
        <v>0.18</v>
      </c>
      <c r="H44" s="138">
        <v>0.18</v>
      </c>
      <c r="I44" s="138">
        <v>0.18</v>
      </c>
      <c r="J44" s="138">
        <v>0.18</v>
      </c>
      <c r="K44" s="138">
        <v>0.18</v>
      </c>
      <c r="L44" s="138">
        <v>0.18</v>
      </c>
      <c r="M44" s="138">
        <v>0.18</v>
      </c>
      <c r="N44" s="138">
        <v>0.18</v>
      </c>
      <c r="O44" s="138">
        <v>0.18</v>
      </c>
      <c r="P44" s="138">
        <v>0.18</v>
      </c>
    </row>
    <row r="45" spans="1:16" x14ac:dyDescent="0.2">
      <c r="A45" s="201" t="s">
        <v>256</v>
      </c>
      <c r="B45" s="204"/>
      <c r="C45" s="138">
        <v>0.15</v>
      </c>
      <c r="D45" s="138">
        <v>0.15</v>
      </c>
      <c r="E45" s="138">
        <v>0.15</v>
      </c>
      <c r="F45" s="209">
        <v>0.15</v>
      </c>
      <c r="G45" s="138">
        <v>0.15</v>
      </c>
      <c r="H45" s="138">
        <v>0.15</v>
      </c>
      <c r="I45" s="138">
        <v>0.15</v>
      </c>
      <c r="J45" s="138">
        <v>0.15</v>
      </c>
      <c r="K45" s="138">
        <v>0.15</v>
      </c>
      <c r="L45" s="138">
        <v>0.15</v>
      </c>
      <c r="M45" s="138">
        <v>0.15</v>
      </c>
      <c r="N45" s="138">
        <v>0.15</v>
      </c>
      <c r="O45" s="138">
        <v>0.15</v>
      </c>
      <c r="P45" s="138">
        <v>0.15</v>
      </c>
    </row>
    <row r="46" spans="1:16" x14ac:dyDescent="0.2">
      <c r="A46" s="201" t="s">
        <v>262</v>
      </c>
      <c r="B46" s="204"/>
      <c r="C46" s="137" t="s">
        <v>263</v>
      </c>
      <c r="D46" s="138">
        <v>0.12</v>
      </c>
      <c r="E46" s="138">
        <v>0.14000000000000001</v>
      </c>
      <c r="F46" s="209">
        <v>0.13</v>
      </c>
      <c r="G46" s="138">
        <v>0.13</v>
      </c>
      <c r="H46" s="138">
        <v>0.13</v>
      </c>
      <c r="I46" s="138">
        <v>0.13</v>
      </c>
      <c r="J46" s="138">
        <v>0.13</v>
      </c>
      <c r="K46" s="138">
        <v>0.13</v>
      </c>
      <c r="L46" s="138">
        <v>0.13</v>
      </c>
      <c r="M46" s="138">
        <v>0.13</v>
      </c>
      <c r="N46" s="138">
        <v>0.13</v>
      </c>
      <c r="O46" s="138">
        <v>0.13</v>
      </c>
      <c r="P46" s="138">
        <v>0.13</v>
      </c>
    </row>
    <row r="47" spans="1:16" x14ac:dyDescent="0.2">
      <c r="A47" s="201" t="s">
        <v>265</v>
      </c>
      <c r="B47" s="204"/>
      <c r="C47" s="214">
        <v>1.2</v>
      </c>
      <c r="D47" s="214">
        <v>1.2</v>
      </c>
      <c r="E47" s="214">
        <v>1.2</v>
      </c>
      <c r="F47" s="214">
        <v>1.2</v>
      </c>
      <c r="G47" s="140">
        <v>1.2</v>
      </c>
      <c r="H47" s="140">
        <v>1.2</v>
      </c>
      <c r="I47" s="140">
        <v>1.2</v>
      </c>
      <c r="J47" s="140">
        <v>1.2</v>
      </c>
      <c r="K47" s="140">
        <v>1.2</v>
      </c>
      <c r="L47" s="140">
        <v>1.2</v>
      </c>
      <c r="M47" s="140">
        <v>1.2</v>
      </c>
      <c r="N47" s="140">
        <v>1.2</v>
      </c>
      <c r="O47" s="140">
        <v>1.2</v>
      </c>
      <c r="P47" s="140">
        <v>1.2</v>
      </c>
    </row>
    <row r="48" spans="1:16" x14ac:dyDescent="0.2">
      <c r="A48" s="201" t="s">
        <v>267</v>
      </c>
      <c r="B48" s="204"/>
      <c r="C48" s="142" t="s">
        <v>268</v>
      </c>
      <c r="D48" s="155">
        <v>0.03</v>
      </c>
      <c r="E48" s="156">
        <v>0.06</v>
      </c>
      <c r="F48" s="216" t="s">
        <v>351</v>
      </c>
      <c r="G48" s="156">
        <v>0.03</v>
      </c>
      <c r="H48" s="156">
        <v>0.06</v>
      </c>
      <c r="I48" s="156">
        <v>0.06</v>
      </c>
      <c r="J48" s="156">
        <v>0.06</v>
      </c>
      <c r="K48" s="156">
        <v>0.06</v>
      </c>
      <c r="L48" s="156">
        <v>0.06</v>
      </c>
      <c r="M48" s="156">
        <v>0.06</v>
      </c>
      <c r="N48" s="156">
        <v>0.06</v>
      </c>
      <c r="O48" s="156">
        <v>0.06</v>
      </c>
      <c r="P48" s="156">
        <v>0.06</v>
      </c>
    </row>
    <row r="49" spans="1:16" x14ac:dyDescent="0.2">
      <c r="A49" s="201" t="s">
        <v>13</v>
      </c>
      <c r="B49" s="204"/>
      <c r="C49" s="216" t="s">
        <v>273</v>
      </c>
      <c r="D49" s="21">
        <v>2.5</v>
      </c>
      <c r="E49" s="21">
        <v>1.5</v>
      </c>
      <c r="F49" s="216">
        <v>1.5</v>
      </c>
      <c r="G49" s="142">
        <v>1.5</v>
      </c>
      <c r="H49" s="142">
        <v>1.5</v>
      </c>
      <c r="I49" s="142">
        <v>1.5</v>
      </c>
      <c r="J49" s="142">
        <v>1.5</v>
      </c>
      <c r="K49" s="142">
        <v>1.5</v>
      </c>
      <c r="L49" s="142">
        <v>1.5</v>
      </c>
      <c r="M49" s="142">
        <v>1.5</v>
      </c>
      <c r="N49" s="142">
        <v>1.5</v>
      </c>
      <c r="O49" s="142">
        <v>1.5</v>
      </c>
      <c r="P49" s="142">
        <v>1.5</v>
      </c>
    </row>
    <row r="50" spans="1:16" x14ac:dyDescent="0.2">
      <c r="A50" s="201" t="s">
        <v>278</v>
      </c>
      <c r="B50" s="204"/>
      <c r="C50" s="144" t="s">
        <v>279</v>
      </c>
      <c r="D50" s="341" t="s">
        <v>395</v>
      </c>
      <c r="E50" s="342" t="s">
        <v>396</v>
      </c>
      <c r="F50" s="218" t="s">
        <v>280</v>
      </c>
      <c r="G50" s="169" t="s">
        <v>416</v>
      </c>
      <c r="H50" s="169" t="s">
        <v>393</v>
      </c>
      <c r="I50" s="169" t="s">
        <v>417</v>
      </c>
      <c r="J50" s="169" t="s">
        <v>394</v>
      </c>
      <c r="K50" s="169" t="s">
        <v>507</v>
      </c>
      <c r="L50" s="169" t="s">
        <v>508</v>
      </c>
      <c r="M50" s="169" t="s">
        <v>393</v>
      </c>
      <c r="N50" s="169" t="s">
        <v>416</v>
      </c>
      <c r="O50" s="169" t="s">
        <v>418</v>
      </c>
      <c r="P50" s="169" t="s">
        <v>416</v>
      </c>
    </row>
    <row r="51" spans="1:16" x14ac:dyDescent="0.2">
      <c r="A51" s="201" t="s">
        <v>14</v>
      </c>
      <c r="B51" s="204"/>
      <c r="C51" s="134">
        <v>0.7</v>
      </c>
      <c r="D51" s="134">
        <v>0.7</v>
      </c>
      <c r="E51" s="134">
        <v>0.7</v>
      </c>
      <c r="F51" s="220" t="s">
        <v>281</v>
      </c>
      <c r="G51" s="134">
        <v>0.8</v>
      </c>
      <c r="H51" s="134">
        <v>0.8</v>
      </c>
      <c r="I51" s="134">
        <v>0.8</v>
      </c>
      <c r="J51" s="134">
        <v>0.8</v>
      </c>
      <c r="K51" s="134">
        <v>0.7</v>
      </c>
      <c r="L51" s="134">
        <v>0.7</v>
      </c>
      <c r="M51" s="134">
        <v>0.8</v>
      </c>
      <c r="N51" s="134">
        <v>0.8</v>
      </c>
      <c r="O51" s="134">
        <v>0.8</v>
      </c>
      <c r="P51" s="134">
        <v>0.8</v>
      </c>
    </row>
    <row r="52" spans="1:16" ht="14.25" x14ac:dyDescent="0.2">
      <c r="A52" s="201" t="s">
        <v>352</v>
      </c>
      <c r="B52" s="204"/>
      <c r="C52" s="222">
        <v>-10</v>
      </c>
      <c r="D52" s="199">
        <v>-10</v>
      </c>
      <c r="E52" s="199">
        <v>-10</v>
      </c>
      <c r="F52" s="222">
        <v>-10</v>
      </c>
      <c r="G52" s="199">
        <v>-10</v>
      </c>
      <c r="H52" s="199">
        <v>-10</v>
      </c>
      <c r="I52" s="199">
        <v>-10</v>
      </c>
      <c r="J52" s="199">
        <v>-10</v>
      </c>
      <c r="K52" s="199">
        <v>-10</v>
      </c>
      <c r="L52" s="199">
        <v>-10</v>
      </c>
      <c r="M52" s="199">
        <v>-10</v>
      </c>
      <c r="N52" s="199">
        <v>-10</v>
      </c>
      <c r="O52" s="199">
        <v>-10</v>
      </c>
      <c r="P52" s="199">
        <v>-10</v>
      </c>
    </row>
    <row r="53" spans="1:16" x14ac:dyDescent="0.2">
      <c r="A53" s="201" t="s">
        <v>283</v>
      </c>
      <c r="B53" s="204"/>
      <c r="C53" s="142">
        <v>2.5</v>
      </c>
      <c r="D53" s="142">
        <v>2.5</v>
      </c>
      <c r="E53" s="142">
        <v>2.5</v>
      </c>
      <c r="F53" s="216">
        <v>2</v>
      </c>
      <c r="G53" s="142">
        <v>2</v>
      </c>
      <c r="H53" s="142">
        <v>2</v>
      </c>
      <c r="I53" s="142">
        <v>2</v>
      </c>
      <c r="J53" s="142">
        <v>2</v>
      </c>
      <c r="K53" s="142">
        <v>2</v>
      </c>
      <c r="L53" s="142">
        <v>2</v>
      </c>
      <c r="M53" s="142">
        <v>2</v>
      </c>
      <c r="N53" s="142">
        <v>2</v>
      </c>
      <c r="O53" s="142">
        <v>2</v>
      </c>
      <c r="P53" s="142">
        <v>2</v>
      </c>
    </row>
    <row r="54" spans="1:16" x14ac:dyDescent="0.2">
      <c r="A54" s="201" t="s">
        <v>284</v>
      </c>
      <c r="B54" s="204"/>
      <c r="C54" s="142" t="s">
        <v>285</v>
      </c>
      <c r="D54" s="142" t="s">
        <v>285</v>
      </c>
      <c r="E54" s="142" t="s">
        <v>285</v>
      </c>
      <c r="F54" s="216" t="s">
        <v>285</v>
      </c>
      <c r="G54" s="142" t="s">
        <v>285</v>
      </c>
      <c r="H54" s="142" t="s">
        <v>285</v>
      </c>
      <c r="I54" s="142" t="s">
        <v>285</v>
      </c>
      <c r="J54" s="142" t="s">
        <v>285</v>
      </c>
      <c r="K54" s="142" t="s">
        <v>285</v>
      </c>
      <c r="L54" s="142" t="s">
        <v>285</v>
      </c>
      <c r="M54" s="142" t="s">
        <v>285</v>
      </c>
      <c r="N54" s="142" t="s">
        <v>285</v>
      </c>
      <c r="O54" s="142" t="s">
        <v>285</v>
      </c>
      <c r="P54" s="142" t="s">
        <v>285</v>
      </c>
    </row>
    <row r="55" spans="1:16" x14ac:dyDescent="0.2">
      <c r="A55" s="201" t="s">
        <v>18</v>
      </c>
      <c r="B55" s="204"/>
      <c r="C55" s="144" t="s">
        <v>286</v>
      </c>
      <c r="D55" s="144" t="s">
        <v>286</v>
      </c>
      <c r="E55" s="144" t="s">
        <v>286</v>
      </c>
      <c r="F55" s="216" t="s">
        <v>285</v>
      </c>
      <c r="G55" s="142" t="s">
        <v>285</v>
      </c>
      <c r="H55" s="142" t="s">
        <v>285</v>
      </c>
      <c r="I55" s="142" t="s">
        <v>285</v>
      </c>
      <c r="J55" s="142" t="s">
        <v>285</v>
      </c>
      <c r="K55" s="142" t="s">
        <v>285</v>
      </c>
      <c r="L55" s="142" t="s">
        <v>285</v>
      </c>
      <c r="M55" s="142" t="s">
        <v>285</v>
      </c>
      <c r="N55" s="142" t="s">
        <v>285</v>
      </c>
      <c r="O55" s="142" t="s">
        <v>285</v>
      </c>
      <c r="P55" s="142" t="s">
        <v>285</v>
      </c>
    </row>
    <row r="56" spans="1:16" x14ac:dyDescent="0.2">
      <c r="A56" s="201" t="s">
        <v>287</v>
      </c>
      <c r="B56" s="204"/>
      <c r="C56" s="145" t="s">
        <v>286</v>
      </c>
      <c r="D56" s="143">
        <v>0</v>
      </c>
      <c r="E56" s="143">
        <v>0</v>
      </c>
      <c r="F56" s="200" t="s">
        <v>288</v>
      </c>
      <c r="G56" s="168">
        <v>0</v>
      </c>
      <c r="H56" s="168">
        <v>60</v>
      </c>
      <c r="I56" s="168">
        <v>0</v>
      </c>
      <c r="J56" s="168">
        <v>70</v>
      </c>
      <c r="K56" s="168">
        <v>90</v>
      </c>
      <c r="L56" s="21">
        <v>0</v>
      </c>
      <c r="M56" s="168">
        <v>125</v>
      </c>
      <c r="N56" s="21">
        <v>0</v>
      </c>
      <c r="O56" s="171">
        <v>100</v>
      </c>
      <c r="P56" s="172">
        <v>70</v>
      </c>
    </row>
    <row r="57" spans="1:16" x14ac:dyDescent="0.2">
      <c r="A57" s="201" t="s">
        <v>289</v>
      </c>
      <c r="B57" s="204"/>
      <c r="C57" s="144" t="s">
        <v>291</v>
      </c>
      <c r="D57" s="142">
        <v>1.95</v>
      </c>
      <c r="E57" s="142">
        <v>1.95</v>
      </c>
      <c r="F57" s="218" t="s">
        <v>290</v>
      </c>
      <c r="G57" s="142">
        <f>8*0.8</f>
        <v>6.4</v>
      </c>
      <c r="H57" s="142">
        <f>8*0.8</f>
        <v>6.4</v>
      </c>
      <c r="I57" s="142">
        <f>10*0.8</f>
        <v>8</v>
      </c>
      <c r="J57" s="142">
        <f>8*0.8</f>
        <v>6.4</v>
      </c>
      <c r="K57" s="142">
        <f>8*0.8</f>
        <v>6.4</v>
      </c>
      <c r="L57" s="142">
        <f>8*0.8</f>
        <v>6.4</v>
      </c>
      <c r="M57" s="142">
        <f>8*0.8</f>
        <v>6.4</v>
      </c>
      <c r="N57" s="142">
        <f>8*0.8</f>
        <v>6.4</v>
      </c>
      <c r="O57" s="142">
        <f>15*0.8</f>
        <v>12</v>
      </c>
      <c r="P57" s="142">
        <f>8*0.8</f>
        <v>6.4</v>
      </c>
    </row>
    <row r="58" spans="1:16" x14ac:dyDescent="0.2">
      <c r="A58" s="201" t="s">
        <v>293</v>
      </c>
      <c r="B58" s="204"/>
      <c r="C58" s="51"/>
      <c r="D58" s="142">
        <v>3</v>
      </c>
      <c r="E58" s="142">
        <v>3</v>
      </c>
      <c r="F58" s="145" t="s">
        <v>294</v>
      </c>
      <c r="G58" s="142">
        <v>2</v>
      </c>
      <c r="H58" s="142">
        <v>11</v>
      </c>
      <c r="I58" s="21">
        <v>6</v>
      </c>
      <c r="J58" s="142">
        <v>11</v>
      </c>
      <c r="K58" s="142">
        <v>8</v>
      </c>
      <c r="L58" s="142">
        <v>4</v>
      </c>
      <c r="M58" s="142">
        <v>1</v>
      </c>
      <c r="N58" s="142">
        <v>1</v>
      </c>
      <c r="O58" s="142">
        <v>1</v>
      </c>
      <c r="P58" s="142">
        <v>1</v>
      </c>
    </row>
    <row r="59" spans="1:16" x14ac:dyDescent="0.2">
      <c r="A59" s="201" t="s">
        <v>295</v>
      </c>
      <c r="B59" s="204"/>
      <c r="C59" s="51"/>
      <c r="D59" s="142">
        <v>5.0999999999999996</v>
      </c>
      <c r="E59" s="142">
        <v>5.0999999999999996</v>
      </c>
      <c r="F59" s="145" t="s">
        <v>294</v>
      </c>
      <c r="G59" s="21">
        <v>3.8</v>
      </c>
      <c r="H59" s="142">
        <v>1.6</v>
      </c>
      <c r="I59" s="142">
        <v>4.5</v>
      </c>
      <c r="J59" s="142">
        <v>1.6</v>
      </c>
      <c r="K59" s="142">
        <v>5.0999999999999996</v>
      </c>
      <c r="L59" s="142">
        <v>5.0999999999999996</v>
      </c>
      <c r="M59" s="142">
        <v>5.0999999999999996</v>
      </c>
      <c r="N59" s="142">
        <v>18.899999999999999</v>
      </c>
      <c r="O59" s="142">
        <v>2.7</v>
      </c>
      <c r="P59" s="142">
        <v>3.5</v>
      </c>
    </row>
    <row r="60" spans="1:16" x14ac:dyDescent="0.2">
      <c r="A60" s="201" t="s">
        <v>296</v>
      </c>
      <c r="B60" s="204"/>
      <c r="C60" s="144" t="s">
        <v>298</v>
      </c>
      <c r="D60" s="142">
        <v>1.5</v>
      </c>
      <c r="E60" s="142">
        <v>1.5</v>
      </c>
      <c r="F60" s="145" t="s">
        <v>297</v>
      </c>
      <c r="G60" s="21">
        <v>6</v>
      </c>
      <c r="H60" s="142">
        <v>4</v>
      </c>
      <c r="I60" s="21">
        <v>12</v>
      </c>
      <c r="J60" s="21">
        <v>6</v>
      </c>
      <c r="K60" s="21">
        <v>2</v>
      </c>
      <c r="L60" s="21">
        <v>3</v>
      </c>
      <c r="M60" s="21">
        <v>2</v>
      </c>
      <c r="N60" s="21">
        <v>10</v>
      </c>
      <c r="O60" s="142">
        <v>10</v>
      </c>
      <c r="P60" s="142">
        <v>3.2</v>
      </c>
    </row>
    <row r="61" spans="1:16" x14ac:dyDescent="0.2">
      <c r="A61" s="21" t="s">
        <v>19</v>
      </c>
      <c r="B61" s="204"/>
      <c r="C61" s="144"/>
      <c r="D61" s="143">
        <v>0.35</v>
      </c>
      <c r="E61" s="143">
        <v>0.35</v>
      </c>
      <c r="F61" s="143">
        <v>0.4</v>
      </c>
      <c r="G61" s="142">
        <v>0.35</v>
      </c>
      <c r="H61" s="142">
        <v>0.4</v>
      </c>
      <c r="I61" s="142">
        <v>0.4</v>
      </c>
      <c r="J61" s="142">
        <v>0.4</v>
      </c>
      <c r="K61" s="142">
        <v>0.4</v>
      </c>
      <c r="L61" s="142">
        <v>0.4</v>
      </c>
      <c r="M61" s="142">
        <v>0.4</v>
      </c>
      <c r="N61" s="142">
        <v>0.4</v>
      </c>
      <c r="O61" s="142">
        <v>0.4</v>
      </c>
      <c r="P61" s="142">
        <v>0.4</v>
      </c>
    </row>
    <row r="62" spans="1:16" x14ac:dyDescent="0.2">
      <c r="A62" s="21" t="s">
        <v>20</v>
      </c>
      <c r="B62" s="204"/>
      <c r="C62" s="144"/>
      <c r="D62" s="149" t="s">
        <v>15</v>
      </c>
      <c r="E62" s="149" t="s">
        <v>15</v>
      </c>
      <c r="F62" s="143">
        <v>0.08</v>
      </c>
      <c r="G62" s="59" t="s">
        <v>15</v>
      </c>
      <c r="H62" s="142">
        <v>0.08</v>
      </c>
      <c r="I62" s="142">
        <v>0.08</v>
      </c>
      <c r="J62" s="142">
        <v>0.08</v>
      </c>
      <c r="K62" s="142">
        <v>0.08</v>
      </c>
      <c r="L62" s="142">
        <v>0.08</v>
      </c>
      <c r="M62" s="142">
        <v>0.08</v>
      </c>
      <c r="N62" s="142">
        <v>0.08</v>
      </c>
      <c r="O62" s="142">
        <v>0.08</v>
      </c>
      <c r="P62" s="142">
        <v>0.08</v>
      </c>
    </row>
    <row r="63" spans="1:16" x14ac:dyDescent="0.2">
      <c r="A63" s="21" t="s">
        <v>21</v>
      </c>
      <c r="B63" s="204"/>
      <c r="C63" s="144"/>
      <c r="D63" s="149" t="s">
        <v>15</v>
      </c>
      <c r="E63" s="149" t="s">
        <v>15</v>
      </c>
      <c r="F63" s="143" t="s">
        <v>299</v>
      </c>
      <c r="G63" s="59" t="s">
        <v>15</v>
      </c>
      <c r="H63" s="142" t="s">
        <v>299</v>
      </c>
      <c r="I63" s="142" t="s">
        <v>299</v>
      </c>
      <c r="J63" s="142" t="s">
        <v>299</v>
      </c>
      <c r="K63" s="142" t="s">
        <v>299</v>
      </c>
      <c r="L63" s="142" t="s">
        <v>299</v>
      </c>
      <c r="M63" s="142" t="s">
        <v>299</v>
      </c>
      <c r="N63" s="142" t="s">
        <v>299</v>
      </c>
      <c r="O63" s="142" t="s">
        <v>299</v>
      </c>
      <c r="P63" s="142" t="s">
        <v>299</v>
      </c>
    </row>
    <row r="64" spans="1:16" x14ac:dyDescent="0.2">
      <c r="A64" s="157"/>
      <c r="C64" s="204"/>
      <c r="D64" s="204"/>
      <c r="E64" s="204"/>
      <c r="F64" s="206"/>
      <c r="G64" s="224"/>
      <c r="H64" s="206"/>
      <c r="I64" s="224"/>
      <c r="J64" s="206"/>
      <c r="K64" s="224"/>
      <c r="L64" s="206"/>
      <c r="M64" s="224"/>
      <c r="N64" s="206"/>
      <c r="O64" s="224"/>
    </row>
    <row r="65" spans="1:16" x14ac:dyDescent="0.2">
      <c r="A65" s="202"/>
      <c r="C65" s="204"/>
      <c r="D65" s="204"/>
      <c r="E65" s="204"/>
      <c r="F65" s="206"/>
      <c r="G65" s="224"/>
      <c r="H65" s="206"/>
      <c r="I65" s="224"/>
      <c r="J65" s="206"/>
      <c r="K65" s="224"/>
      <c r="L65" s="206"/>
      <c r="M65" s="224"/>
      <c r="N65" s="206"/>
      <c r="O65" s="224"/>
    </row>
    <row r="66" spans="1:16" x14ac:dyDescent="0.2">
      <c r="A66" s="202" t="s">
        <v>247</v>
      </c>
      <c r="C66" s="124" t="s">
        <v>247</v>
      </c>
      <c r="D66" s="158" t="str">
        <f>C66</f>
        <v>TEK 07</v>
      </c>
      <c r="E66" s="158" t="str">
        <f>C66</f>
        <v>TEK 07</v>
      </c>
      <c r="F66" s="124" t="s">
        <v>247</v>
      </c>
      <c r="G66" s="158" t="str">
        <f>F66</f>
        <v>TEK 07</v>
      </c>
      <c r="H66" s="158" t="str">
        <f t="shared" ref="H66:P66" si="1">G66</f>
        <v>TEK 07</v>
      </c>
      <c r="I66" s="158" t="str">
        <f t="shared" si="1"/>
        <v>TEK 07</v>
      </c>
      <c r="J66" s="158" t="str">
        <f t="shared" si="1"/>
        <v>TEK 07</v>
      </c>
      <c r="K66" s="158" t="str">
        <f t="shared" si="1"/>
        <v>TEK 07</v>
      </c>
      <c r="L66" s="158" t="str">
        <f t="shared" si="1"/>
        <v>TEK 07</v>
      </c>
      <c r="M66" s="158" t="str">
        <f t="shared" si="1"/>
        <v>TEK 07</v>
      </c>
      <c r="N66" s="158" t="str">
        <f t="shared" si="1"/>
        <v>TEK 07</v>
      </c>
      <c r="O66" s="158" t="str">
        <f t="shared" si="1"/>
        <v>TEK 07</v>
      </c>
      <c r="P66" s="158" t="str">
        <f t="shared" si="1"/>
        <v>TEK 07</v>
      </c>
    </row>
    <row r="67" spans="1:16" x14ac:dyDescent="0.2">
      <c r="A67" s="202" t="s">
        <v>300</v>
      </c>
      <c r="C67" s="159" t="s">
        <v>251</v>
      </c>
      <c r="D67" s="160" t="s">
        <v>11</v>
      </c>
      <c r="E67" s="160" t="s">
        <v>1</v>
      </c>
      <c r="F67" s="161" t="s">
        <v>250</v>
      </c>
      <c r="G67" s="162" t="s">
        <v>97</v>
      </c>
      <c r="H67" s="162" t="s">
        <v>98</v>
      </c>
      <c r="I67" s="162" t="s">
        <v>99</v>
      </c>
      <c r="J67" s="162" t="s">
        <v>100</v>
      </c>
      <c r="K67" s="162" t="s">
        <v>101</v>
      </c>
      <c r="L67" s="162" t="s">
        <v>102</v>
      </c>
      <c r="M67" s="162" t="s">
        <v>103</v>
      </c>
      <c r="N67" s="162" t="s">
        <v>104</v>
      </c>
      <c r="O67" s="162" t="s">
        <v>105</v>
      </c>
      <c r="P67" s="162" t="s">
        <v>106</v>
      </c>
    </row>
    <row r="69" spans="1:16" x14ac:dyDescent="0.2">
      <c r="A69" s="201" t="s">
        <v>12</v>
      </c>
      <c r="C69" s="134">
        <v>0.2</v>
      </c>
      <c r="D69" s="135">
        <v>0.2</v>
      </c>
      <c r="E69" s="135">
        <v>0.2</v>
      </c>
      <c r="F69" s="207">
        <v>0.2</v>
      </c>
      <c r="G69" s="135">
        <v>0.2</v>
      </c>
      <c r="H69" s="135">
        <v>0.2</v>
      </c>
      <c r="I69" s="135">
        <v>0.2</v>
      </c>
      <c r="J69" s="135">
        <v>0.2</v>
      </c>
      <c r="K69" s="135">
        <v>0.2</v>
      </c>
      <c r="L69" s="135">
        <v>0.2</v>
      </c>
      <c r="M69" s="135">
        <v>0.2</v>
      </c>
      <c r="N69" s="135">
        <v>0.2</v>
      </c>
      <c r="O69" s="135">
        <v>0.2</v>
      </c>
      <c r="P69" s="135">
        <v>0.2</v>
      </c>
    </row>
    <row r="70" spans="1:16" x14ac:dyDescent="0.2">
      <c r="A70" s="201" t="s">
        <v>252</v>
      </c>
      <c r="C70" s="137" t="s">
        <v>253</v>
      </c>
      <c r="D70" s="138">
        <v>0.17</v>
      </c>
      <c r="E70" s="138">
        <v>0.22</v>
      </c>
      <c r="F70" s="209">
        <v>0.18</v>
      </c>
      <c r="G70" s="138">
        <v>0.18</v>
      </c>
      <c r="H70" s="138">
        <v>0.18</v>
      </c>
      <c r="I70" s="138">
        <v>0.18</v>
      </c>
      <c r="J70" s="138">
        <v>0.18</v>
      </c>
      <c r="K70" s="138">
        <v>0.18</v>
      </c>
      <c r="L70" s="138">
        <v>0.18</v>
      </c>
      <c r="M70" s="138">
        <v>0.18</v>
      </c>
      <c r="N70" s="138">
        <v>0.18</v>
      </c>
      <c r="O70" s="138">
        <v>0.18</v>
      </c>
      <c r="P70" s="138">
        <v>0.18</v>
      </c>
    </row>
    <row r="71" spans="1:16" x14ac:dyDescent="0.2">
      <c r="A71" s="201" t="s">
        <v>256</v>
      </c>
      <c r="C71" s="138">
        <v>0.15</v>
      </c>
      <c r="D71" s="138">
        <v>0.15</v>
      </c>
      <c r="E71" s="138">
        <v>0.15</v>
      </c>
      <c r="F71" s="209">
        <v>0.15</v>
      </c>
      <c r="G71" s="138">
        <v>0.15</v>
      </c>
      <c r="H71" s="138">
        <v>0.15</v>
      </c>
      <c r="I71" s="138">
        <v>0.15</v>
      </c>
      <c r="J71" s="138">
        <v>0.15</v>
      </c>
      <c r="K71" s="138">
        <v>0.15</v>
      </c>
      <c r="L71" s="138">
        <v>0.15</v>
      </c>
      <c r="M71" s="138">
        <v>0.15</v>
      </c>
      <c r="N71" s="138">
        <v>0.15</v>
      </c>
      <c r="O71" s="138">
        <v>0.15</v>
      </c>
      <c r="P71" s="138">
        <v>0.15</v>
      </c>
    </row>
    <row r="72" spans="1:16" x14ac:dyDescent="0.2">
      <c r="A72" s="201" t="s">
        <v>262</v>
      </c>
      <c r="C72" s="137" t="s">
        <v>263</v>
      </c>
      <c r="D72" s="138">
        <v>0.12</v>
      </c>
      <c r="E72" s="138">
        <v>0.14000000000000001</v>
      </c>
      <c r="F72" s="209">
        <v>0.13</v>
      </c>
      <c r="G72" s="138">
        <v>0.13</v>
      </c>
      <c r="H72" s="138">
        <v>0.13</v>
      </c>
      <c r="I72" s="138">
        <v>0.13</v>
      </c>
      <c r="J72" s="138">
        <v>0.13</v>
      </c>
      <c r="K72" s="138">
        <v>0.13</v>
      </c>
      <c r="L72" s="138">
        <v>0.13</v>
      </c>
      <c r="M72" s="138">
        <v>0.13</v>
      </c>
      <c r="N72" s="138">
        <v>0.13</v>
      </c>
      <c r="O72" s="138">
        <v>0.13</v>
      </c>
      <c r="P72" s="138">
        <v>0.13</v>
      </c>
    </row>
    <row r="73" spans="1:16" x14ac:dyDescent="0.2">
      <c r="A73" s="201" t="s">
        <v>265</v>
      </c>
      <c r="C73" s="140">
        <v>1.2</v>
      </c>
      <c r="D73" s="140">
        <v>1.2</v>
      </c>
      <c r="E73" s="140">
        <v>1.2</v>
      </c>
      <c r="F73" s="214">
        <v>1.2</v>
      </c>
      <c r="G73" s="140">
        <v>1.2</v>
      </c>
      <c r="H73" s="140">
        <v>1.2</v>
      </c>
      <c r="I73" s="140">
        <v>1.2</v>
      </c>
      <c r="J73" s="140">
        <v>1.2</v>
      </c>
      <c r="K73" s="140">
        <v>1.2</v>
      </c>
      <c r="L73" s="140">
        <v>1.2</v>
      </c>
      <c r="M73" s="140">
        <v>1.2</v>
      </c>
      <c r="N73" s="140">
        <v>1.2</v>
      </c>
      <c r="O73" s="140">
        <v>1.2</v>
      </c>
      <c r="P73" s="140">
        <v>1.2</v>
      </c>
    </row>
    <row r="74" spans="1:16" x14ac:dyDescent="0.2">
      <c r="A74" s="201" t="s">
        <v>267</v>
      </c>
      <c r="C74" s="142" t="s">
        <v>268</v>
      </c>
      <c r="D74" s="166">
        <v>0.03</v>
      </c>
      <c r="E74" s="167">
        <v>0.06</v>
      </c>
      <c r="F74" s="216" t="s">
        <v>351</v>
      </c>
      <c r="G74" s="156">
        <v>0.03</v>
      </c>
      <c r="H74" s="156">
        <v>0.06</v>
      </c>
      <c r="I74" s="156">
        <v>0.06</v>
      </c>
      <c r="J74" s="156">
        <v>0.06</v>
      </c>
      <c r="K74" s="156">
        <v>0.06</v>
      </c>
      <c r="L74" s="156">
        <v>0.06</v>
      </c>
      <c r="M74" s="156">
        <v>0.06</v>
      </c>
      <c r="N74" s="156">
        <v>0.06</v>
      </c>
      <c r="O74" s="156">
        <v>0.06</v>
      </c>
      <c r="P74" s="156">
        <v>0.06</v>
      </c>
    </row>
    <row r="75" spans="1:16" x14ac:dyDescent="0.2">
      <c r="A75" s="201" t="s">
        <v>13</v>
      </c>
      <c r="C75" s="142" t="s">
        <v>273</v>
      </c>
      <c r="D75" s="21">
        <v>2.5</v>
      </c>
      <c r="E75" s="21">
        <v>1.5</v>
      </c>
      <c r="F75" s="216">
        <v>1.5</v>
      </c>
      <c r="G75" s="142">
        <v>1.5</v>
      </c>
      <c r="H75" s="142">
        <v>1.5</v>
      </c>
      <c r="I75" s="142">
        <v>1.5</v>
      </c>
      <c r="J75" s="142">
        <v>1.5</v>
      </c>
      <c r="K75" s="142">
        <v>1.5</v>
      </c>
      <c r="L75" s="142">
        <v>1.5</v>
      </c>
      <c r="M75" s="142">
        <v>1.5</v>
      </c>
      <c r="N75" s="142">
        <v>1.5</v>
      </c>
      <c r="O75" s="142">
        <v>1.5</v>
      </c>
      <c r="P75" s="142">
        <v>1.5</v>
      </c>
    </row>
    <row r="76" spans="1:16" x14ac:dyDescent="0.2">
      <c r="A76" s="201" t="s">
        <v>278</v>
      </c>
      <c r="C76" s="144" t="s">
        <v>279</v>
      </c>
      <c r="D76" s="341" t="s">
        <v>395</v>
      </c>
      <c r="E76" s="342" t="s">
        <v>396</v>
      </c>
      <c r="F76" s="218" t="s">
        <v>280</v>
      </c>
      <c r="G76" s="169" t="s">
        <v>416</v>
      </c>
      <c r="H76" s="169" t="s">
        <v>393</v>
      </c>
      <c r="I76" s="169" t="s">
        <v>417</v>
      </c>
      <c r="J76" s="169" t="s">
        <v>394</v>
      </c>
      <c r="K76" s="169" t="s">
        <v>507</v>
      </c>
      <c r="L76" s="169" t="s">
        <v>508</v>
      </c>
      <c r="M76" s="169" t="s">
        <v>393</v>
      </c>
      <c r="N76" s="169" t="s">
        <v>416</v>
      </c>
      <c r="O76" s="169" t="s">
        <v>418</v>
      </c>
      <c r="P76" s="169" t="s">
        <v>416</v>
      </c>
    </row>
    <row r="77" spans="1:16" x14ac:dyDescent="0.2">
      <c r="A77" s="201" t="s">
        <v>14</v>
      </c>
      <c r="C77" s="134">
        <v>0.7</v>
      </c>
      <c r="D77" s="134">
        <v>0.7</v>
      </c>
      <c r="E77" s="134">
        <v>0.7</v>
      </c>
      <c r="F77" s="207">
        <v>0.7</v>
      </c>
      <c r="G77" s="134">
        <v>0.7</v>
      </c>
      <c r="H77" s="134">
        <v>0.7</v>
      </c>
      <c r="I77" s="134">
        <v>0.7</v>
      </c>
      <c r="J77" s="134">
        <v>0.7</v>
      </c>
      <c r="K77" s="134">
        <v>0.7</v>
      </c>
      <c r="L77" s="134">
        <v>0.7</v>
      </c>
      <c r="M77" s="134">
        <v>0.7</v>
      </c>
      <c r="N77" s="134">
        <v>0.7</v>
      </c>
      <c r="O77" s="134">
        <v>0.7</v>
      </c>
      <c r="P77" s="134">
        <v>0.7</v>
      </c>
    </row>
    <row r="78" spans="1:16" ht="14.25" x14ac:dyDescent="0.2">
      <c r="A78" s="201" t="s">
        <v>352</v>
      </c>
      <c r="C78" s="222">
        <v>-6</v>
      </c>
      <c r="D78" s="199">
        <v>-6</v>
      </c>
      <c r="E78" s="199">
        <v>-6</v>
      </c>
      <c r="F78" s="222">
        <v>-6</v>
      </c>
      <c r="G78" s="199">
        <v>-6</v>
      </c>
      <c r="H78" s="199">
        <v>-6</v>
      </c>
      <c r="I78" s="199">
        <v>-6</v>
      </c>
      <c r="J78" s="199">
        <v>-6</v>
      </c>
      <c r="K78" s="199">
        <v>-6</v>
      </c>
      <c r="L78" s="199">
        <v>-6</v>
      </c>
      <c r="M78" s="199">
        <v>-6</v>
      </c>
      <c r="N78" s="199">
        <v>-6</v>
      </c>
      <c r="O78" s="199">
        <v>-6</v>
      </c>
      <c r="P78" s="199">
        <v>-6</v>
      </c>
    </row>
    <row r="79" spans="1:16" x14ac:dyDescent="0.2">
      <c r="A79" s="201" t="s">
        <v>283</v>
      </c>
      <c r="C79" s="142">
        <v>2.5</v>
      </c>
      <c r="D79" s="142">
        <v>2.5</v>
      </c>
      <c r="E79" s="142">
        <v>2.5</v>
      </c>
      <c r="F79" s="216">
        <v>2</v>
      </c>
      <c r="G79" s="142">
        <v>2</v>
      </c>
      <c r="H79" s="142">
        <v>2</v>
      </c>
      <c r="I79" s="142">
        <v>2</v>
      </c>
      <c r="J79" s="142">
        <v>2</v>
      </c>
      <c r="K79" s="142">
        <v>2</v>
      </c>
      <c r="L79" s="142">
        <v>2</v>
      </c>
      <c r="M79" s="142">
        <v>2</v>
      </c>
      <c r="N79" s="142">
        <v>2</v>
      </c>
      <c r="O79" s="142">
        <v>2</v>
      </c>
      <c r="P79" s="142">
        <v>2</v>
      </c>
    </row>
    <row r="80" spans="1:16" x14ac:dyDescent="0.2">
      <c r="A80" s="201" t="s">
        <v>284</v>
      </c>
      <c r="C80" s="142" t="s">
        <v>285</v>
      </c>
      <c r="D80" s="142" t="s">
        <v>285</v>
      </c>
      <c r="E80" s="142" t="s">
        <v>285</v>
      </c>
      <c r="F80" s="216" t="s">
        <v>285</v>
      </c>
      <c r="G80" s="142" t="s">
        <v>285</v>
      </c>
      <c r="H80" s="142" t="s">
        <v>285</v>
      </c>
      <c r="I80" s="142" t="s">
        <v>285</v>
      </c>
      <c r="J80" s="142" t="s">
        <v>285</v>
      </c>
      <c r="K80" s="142" t="s">
        <v>285</v>
      </c>
      <c r="L80" s="142" t="s">
        <v>285</v>
      </c>
      <c r="M80" s="142" t="s">
        <v>285</v>
      </c>
      <c r="N80" s="142" t="s">
        <v>285</v>
      </c>
      <c r="O80" s="142" t="s">
        <v>285</v>
      </c>
      <c r="P80" s="142" t="s">
        <v>285</v>
      </c>
    </row>
    <row r="81" spans="1:16" x14ac:dyDescent="0.2">
      <c r="A81" s="201" t="s">
        <v>18</v>
      </c>
      <c r="C81" s="144" t="s">
        <v>286</v>
      </c>
      <c r="D81" s="144" t="s">
        <v>286</v>
      </c>
      <c r="E81" s="144" t="s">
        <v>286</v>
      </c>
      <c r="F81" s="216" t="s">
        <v>285</v>
      </c>
      <c r="G81" s="142" t="s">
        <v>285</v>
      </c>
      <c r="H81" s="142" t="s">
        <v>285</v>
      </c>
      <c r="I81" s="142" t="s">
        <v>285</v>
      </c>
      <c r="J81" s="142" t="s">
        <v>285</v>
      </c>
      <c r="K81" s="142" t="s">
        <v>285</v>
      </c>
      <c r="L81" s="142" t="s">
        <v>285</v>
      </c>
      <c r="M81" s="142" t="s">
        <v>285</v>
      </c>
      <c r="N81" s="142" t="s">
        <v>285</v>
      </c>
      <c r="O81" s="142" t="s">
        <v>285</v>
      </c>
      <c r="P81" s="142" t="s">
        <v>285</v>
      </c>
    </row>
    <row r="82" spans="1:16" x14ac:dyDescent="0.2">
      <c r="A82" s="201" t="s">
        <v>287</v>
      </c>
      <c r="C82" s="145" t="s">
        <v>286</v>
      </c>
      <c r="D82" s="143">
        <v>0</v>
      </c>
      <c r="E82" s="143">
        <v>0</v>
      </c>
      <c r="F82" s="200" t="s">
        <v>288</v>
      </c>
      <c r="G82" s="168">
        <v>0</v>
      </c>
      <c r="H82" s="168">
        <v>60</v>
      </c>
      <c r="I82" s="168">
        <v>0</v>
      </c>
      <c r="J82" s="168">
        <v>70</v>
      </c>
      <c r="K82" s="168">
        <v>90</v>
      </c>
      <c r="L82" s="21">
        <v>0</v>
      </c>
      <c r="M82" s="168">
        <v>125</v>
      </c>
      <c r="N82" s="21">
        <v>0</v>
      </c>
      <c r="O82" s="171">
        <v>100</v>
      </c>
      <c r="P82" s="172">
        <v>70</v>
      </c>
    </row>
    <row r="83" spans="1:16" x14ac:dyDescent="0.2">
      <c r="A83" s="201" t="s">
        <v>289</v>
      </c>
      <c r="C83" s="144" t="s">
        <v>291</v>
      </c>
      <c r="D83" s="142">
        <v>1.95</v>
      </c>
      <c r="E83" s="142">
        <v>1.95</v>
      </c>
      <c r="F83" s="218" t="s">
        <v>292</v>
      </c>
      <c r="G83" s="142">
        <v>8</v>
      </c>
      <c r="H83" s="142">
        <v>8</v>
      </c>
      <c r="I83" s="142">
        <v>10</v>
      </c>
      <c r="J83" s="21">
        <v>8</v>
      </c>
      <c r="K83" s="21">
        <v>8</v>
      </c>
      <c r="L83" s="21">
        <v>8</v>
      </c>
      <c r="M83" s="21">
        <v>8</v>
      </c>
      <c r="N83" s="21">
        <v>8</v>
      </c>
      <c r="O83" s="142">
        <v>15</v>
      </c>
      <c r="P83" s="142">
        <v>8</v>
      </c>
    </row>
    <row r="84" spans="1:16" x14ac:dyDescent="0.2">
      <c r="A84" s="201" t="s">
        <v>293</v>
      </c>
      <c r="C84" s="51"/>
      <c r="D84" s="142">
        <v>3</v>
      </c>
      <c r="E84" s="142">
        <v>3</v>
      </c>
      <c r="F84" s="145" t="s">
        <v>294</v>
      </c>
      <c r="G84" s="142">
        <v>2</v>
      </c>
      <c r="H84" s="142">
        <v>11</v>
      </c>
      <c r="I84" s="21">
        <v>6</v>
      </c>
      <c r="J84" s="142">
        <v>11</v>
      </c>
      <c r="K84" s="142">
        <v>8</v>
      </c>
      <c r="L84" s="142">
        <v>4</v>
      </c>
      <c r="M84" s="142">
        <v>1</v>
      </c>
      <c r="N84" s="142">
        <v>1</v>
      </c>
      <c r="O84" s="142">
        <v>1</v>
      </c>
      <c r="P84" s="142">
        <v>1</v>
      </c>
    </row>
    <row r="85" spans="1:16" x14ac:dyDescent="0.2">
      <c r="A85" s="201" t="s">
        <v>295</v>
      </c>
      <c r="C85" s="51"/>
      <c r="D85" s="142">
        <v>5.0999999999999996</v>
      </c>
      <c r="E85" s="142">
        <v>5.0999999999999996</v>
      </c>
      <c r="F85" s="145" t="s">
        <v>294</v>
      </c>
      <c r="G85" s="21">
        <v>3.8</v>
      </c>
      <c r="H85" s="142">
        <v>1.6</v>
      </c>
      <c r="I85" s="142">
        <v>4.5</v>
      </c>
      <c r="J85" s="142">
        <v>1.6</v>
      </c>
      <c r="K85" s="142">
        <v>5.0999999999999996</v>
      </c>
      <c r="L85" s="142">
        <v>5.0999999999999996</v>
      </c>
      <c r="M85" s="142">
        <v>5.0999999999999996</v>
      </c>
      <c r="N85" s="142">
        <v>18.899999999999999</v>
      </c>
      <c r="O85" s="142">
        <v>2.7</v>
      </c>
      <c r="P85" s="142">
        <v>3.5</v>
      </c>
    </row>
    <row r="86" spans="1:16" x14ac:dyDescent="0.2">
      <c r="A86" s="201" t="s">
        <v>296</v>
      </c>
      <c r="C86" s="144" t="s">
        <v>298</v>
      </c>
      <c r="D86" s="142">
        <v>1.5</v>
      </c>
      <c r="E86" s="142">
        <v>1.5</v>
      </c>
      <c r="F86" s="145" t="s">
        <v>297</v>
      </c>
      <c r="G86" s="21">
        <v>6</v>
      </c>
      <c r="H86" s="142">
        <v>4</v>
      </c>
      <c r="I86" s="21">
        <v>12</v>
      </c>
      <c r="J86" s="21">
        <v>6</v>
      </c>
      <c r="K86" s="21">
        <v>2</v>
      </c>
      <c r="L86" s="21">
        <v>3</v>
      </c>
      <c r="M86" s="21">
        <v>2</v>
      </c>
      <c r="N86" s="21">
        <v>10</v>
      </c>
      <c r="O86" s="142">
        <v>10</v>
      </c>
      <c r="P86" s="142">
        <v>3.2</v>
      </c>
    </row>
    <row r="87" spans="1:16" x14ac:dyDescent="0.2">
      <c r="A87" s="21" t="s">
        <v>19</v>
      </c>
      <c r="B87" s="204"/>
      <c r="C87" s="144"/>
      <c r="D87" s="143">
        <v>0.35</v>
      </c>
      <c r="E87" s="143">
        <v>0.35</v>
      </c>
      <c r="F87" s="143">
        <v>0.4</v>
      </c>
      <c r="G87" s="142">
        <v>0.35</v>
      </c>
      <c r="H87" s="142">
        <v>0.4</v>
      </c>
      <c r="I87" s="142">
        <v>0.4</v>
      </c>
      <c r="J87" s="142">
        <v>0.4</v>
      </c>
      <c r="K87" s="142">
        <v>0.4</v>
      </c>
      <c r="L87" s="142">
        <v>0.4</v>
      </c>
      <c r="M87" s="142">
        <v>0.4</v>
      </c>
      <c r="N87" s="142">
        <v>0.4</v>
      </c>
      <c r="O87" s="142">
        <v>0.4</v>
      </c>
      <c r="P87" s="142">
        <v>0.4</v>
      </c>
    </row>
    <row r="88" spans="1:16" x14ac:dyDescent="0.2">
      <c r="A88" s="21" t="s">
        <v>20</v>
      </c>
      <c r="B88" s="204"/>
      <c r="C88" s="144"/>
      <c r="D88" s="149" t="s">
        <v>15</v>
      </c>
      <c r="E88" s="149" t="s">
        <v>15</v>
      </c>
      <c r="F88" s="143">
        <v>0.08</v>
      </c>
      <c r="G88" s="59" t="s">
        <v>15</v>
      </c>
      <c r="H88" s="142">
        <v>0.08</v>
      </c>
      <c r="I88" s="142">
        <v>0.08</v>
      </c>
      <c r="J88" s="142">
        <v>0.08</v>
      </c>
      <c r="K88" s="142">
        <v>0.08</v>
      </c>
      <c r="L88" s="142">
        <v>0.08</v>
      </c>
      <c r="M88" s="142">
        <v>0.08</v>
      </c>
      <c r="N88" s="142">
        <v>0.08</v>
      </c>
      <c r="O88" s="142">
        <v>0.08</v>
      </c>
      <c r="P88" s="142">
        <v>0.08</v>
      </c>
    </row>
    <row r="89" spans="1:16" x14ac:dyDescent="0.2">
      <c r="A89" s="21" t="s">
        <v>21</v>
      </c>
      <c r="B89" s="204"/>
      <c r="C89" s="144"/>
      <c r="D89" s="149" t="s">
        <v>15</v>
      </c>
      <c r="E89" s="149" t="s">
        <v>15</v>
      </c>
      <c r="F89" s="143" t="s">
        <v>299</v>
      </c>
      <c r="G89" s="59" t="s">
        <v>15</v>
      </c>
      <c r="H89" s="142" t="s">
        <v>299</v>
      </c>
      <c r="I89" s="142" t="s">
        <v>299</v>
      </c>
      <c r="J89" s="142" t="s">
        <v>299</v>
      </c>
      <c r="K89" s="142" t="s">
        <v>299</v>
      </c>
      <c r="L89" s="142" t="s">
        <v>299</v>
      </c>
      <c r="M89" s="142" t="s">
        <v>299</v>
      </c>
      <c r="N89" s="142" t="s">
        <v>299</v>
      </c>
      <c r="O89" s="142" t="s">
        <v>299</v>
      </c>
      <c r="P89" s="142" t="s">
        <v>299</v>
      </c>
    </row>
    <row r="90" spans="1:16" x14ac:dyDescent="0.2">
      <c r="A90" s="157"/>
      <c r="C90" s="204"/>
      <c r="D90" s="204"/>
      <c r="E90" s="204"/>
      <c r="F90" s="206"/>
      <c r="G90" s="224"/>
      <c r="H90" s="206"/>
      <c r="I90" s="224"/>
      <c r="J90" s="206"/>
      <c r="K90" s="224"/>
      <c r="L90" s="206"/>
      <c r="M90" s="224"/>
      <c r="N90" s="206"/>
      <c r="O90" s="224"/>
    </row>
    <row r="91" spans="1:16" x14ac:dyDescent="0.2">
      <c r="A91" s="202"/>
      <c r="C91" s="204"/>
      <c r="D91" s="204"/>
      <c r="E91" s="204"/>
      <c r="F91" s="206"/>
      <c r="G91" s="224"/>
      <c r="H91" s="206"/>
      <c r="I91" s="224"/>
      <c r="J91" s="206"/>
      <c r="K91" s="224"/>
      <c r="L91" s="206"/>
      <c r="M91" s="224"/>
      <c r="N91" s="206"/>
      <c r="O91" s="224"/>
    </row>
    <row r="92" spans="1:16" x14ac:dyDescent="0.2">
      <c r="A92" s="202" t="s">
        <v>6</v>
      </c>
      <c r="C92" s="125" t="s">
        <v>6</v>
      </c>
      <c r="D92" s="163" t="str">
        <f>C92</f>
        <v>TEK 97</v>
      </c>
      <c r="E92" s="163" t="str">
        <f>D92</f>
        <v>TEK 97</v>
      </c>
      <c r="F92" s="125" t="s">
        <v>6</v>
      </c>
      <c r="G92" s="163" t="str">
        <f>F92</f>
        <v>TEK 97</v>
      </c>
      <c r="H92" s="163" t="str">
        <f t="shared" ref="H92:P92" si="2">G92</f>
        <v>TEK 97</v>
      </c>
      <c r="I92" s="163" t="str">
        <f t="shared" si="2"/>
        <v>TEK 97</v>
      </c>
      <c r="J92" s="163" t="str">
        <f t="shared" si="2"/>
        <v>TEK 97</v>
      </c>
      <c r="K92" s="163" t="str">
        <f t="shared" si="2"/>
        <v>TEK 97</v>
      </c>
      <c r="L92" s="163" t="str">
        <f t="shared" si="2"/>
        <v>TEK 97</v>
      </c>
      <c r="M92" s="163" t="str">
        <f t="shared" si="2"/>
        <v>TEK 97</v>
      </c>
      <c r="N92" s="163" t="str">
        <f t="shared" si="2"/>
        <v>TEK 97</v>
      </c>
      <c r="O92" s="163" t="str">
        <f t="shared" si="2"/>
        <v>TEK 97</v>
      </c>
      <c r="P92" s="163" t="str">
        <f t="shared" si="2"/>
        <v>TEK 97</v>
      </c>
    </row>
    <row r="93" spans="1:16" x14ac:dyDescent="0.2">
      <c r="A93" s="202" t="s">
        <v>300</v>
      </c>
      <c r="C93" s="164" t="s">
        <v>251</v>
      </c>
      <c r="D93" s="165" t="s">
        <v>11</v>
      </c>
      <c r="E93" s="165" t="s">
        <v>1</v>
      </c>
      <c r="F93" s="164" t="s">
        <v>250</v>
      </c>
      <c r="G93" s="165" t="s">
        <v>97</v>
      </c>
      <c r="H93" s="165" t="s">
        <v>98</v>
      </c>
      <c r="I93" s="165" t="s">
        <v>99</v>
      </c>
      <c r="J93" s="165" t="s">
        <v>100</v>
      </c>
      <c r="K93" s="165" t="s">
        <v>101</v>
      </c>
      <c r="L93" s="165" t="s">
        <v>102</v>
      </c>
      <c r="M93" s="165" t="s">
        <v>103</v>
      </c>
      <c r="N93" s="165" t="s">
        <v>104</v>
      </c>
      <c r="O93" s="165" t="s">
        <v>105</v>
      </c>
      <c r="P93" s="165" t="s">
        <v>106</v>
      </c>
    </row>
    <row r="95" spans="1:16" x14ac:dyDescent="0.2">
      <c r="A95" s="201" t="s">
        <v>12</v>
      </c>
      <c r="C95" s="135">
        <v>0.2</v>
      </c>
      <c r="D95" s="135">
        <v>0.2</v>
      </c>
      <c r="E95" s="135">
        <v>0.2</v>
      </c>
      <c r="F95" s="208">
        <v>0.2</v>
      </c>
      <c r="G95" s="135">
        <v>0.2</v>
      </c>
      <c r="H95" s="135">
        <v>0.2</v>
      </c>
      <c r="I95" s="135">
        <v>0.2</v>
      </c>
      <c r="J95" s="135">
        <v>0.2</v>
      </c>
      <c r="K95" s="135">
        <v>0.2</v>
      </c>
      <c r="L95" s="135">
        <v>0.2</v>
      </c>
      <c r="M95" s="135">
        <v>0.2</v>
      </c>
      <c r="N95" s="135">
        <v>0.2</v>
      </c>
      <c r="O95" s="135">
        <v>0.2</v>
      </c>
      <c r="P95" s="135">
        <v>0.2</v>
      </c>
    </row>
    <row r="96" spans="1:16" x14ac:dyDescent="0.2">
      <c r="A96" s="201" t="s">
        <v>252</v>
      </c>
      <c r="C96" s="137" t="s">
        <v>254</v>
      </c>
      <c r="D96" s="138">
        <v>0.21</v>
      </c>
      <c r="E96" s="138">
        <v>0.27</v>
      </c>
      <c r="F96" s="209">
        <v>0.22</v>
      </c>
      <c r="G96" s="138">
        <v>0.22</v>
      </c>
      <c r="H96" s="138">
        <v>0.22</v>
      </c>
      <c r="I96" s="138">
        <v>0.22</v>
      </c>
      <c r="J96" s="138">
        <v>0.22</v>
      </c>
      <c r="K96" s="138">
        <v>0.22</v>
      </c>
      <c r="L96" s="138">
        <v>0.22</v>
      </c>
      <c r="M96" s="138">
        <v>0.22</v>
      </c>
      <c r="N96" s="138">
        <v>0.22</v>
      </c>
      <c r="O96" s="138">
        <v>0.22</v>
      </c>
      <c r="P96" s="138">
        <v>0.22</v>
      </c>
    </row>
    <row r="97" spans="1:17" x14ac:dyDescent="0.2">
      <c r="A97" s="201" t="s">
        <v>256</v>
      </c>
      <c r="C97" s="137" t="s">
        <v>257</v>
      </c>
      <c r="D97" s="138">
        <v>0.15</v>
      </c>
      <c r="E97" s="138">
        <v>0.14000000000000001</v>
      </c>
      <c r="F97" s="209">
        <v>0.15</v>
      </c>
      <c r="G97" s="138">
        <v>0.15</v>
      </c>
      <c r="H97" s="138">
        <v>0.15</v>
      </c>
      <c r="I97" s="138">
        <v>0.15</v>
      </c>
      <c r="J97" s="138">
        <v>0.15</v>
      </c>
      <c r="K97" s="138">
        <v>0.15</v>
      </c>
      <c r="L97" s="138">
        <v>0.15</v>
      </c>
      <c r="M97" s="138">
        <v>0.15</v>
      </c>
      <c r="N97" s="138">
        <v>0.15</v>
      </c>
      <c r="O97" s="138">
        <v>0.15</v>
      </c>
      <c r="P97" s="138">
        <v>0.15</v>
      </c>
    </row>
    <row r="98" spans="1:17" x14ac:dyDescent="0.2">
      <c r="A98" s="201" t="s">
        <v>262</v>
      </c>
      <c r="C98" s="139">
        <v>0.14000000000000001</v>
      </c>
      <c r="D98" s="138">
        <v>0.14000000000000001</v>
      </c>
      <c r="E98" s="138">
        <v>0.14000000000000001</v>
      </c>
      <c r="F98" s="209">
        <v>0.15</v>
      </c>
      <c r="G98" s="138">
        <v>0.15</v>
      </c>
      <c r="H98" s="138">
        <v>0.15</v>
      </c>
      <c r="I98" s="138">
        <v>0.15</v>
      </c>
      <c r="J98" s="138">
        <v>0.15</v>
      </c>
      <c r="K98" s="138">
        <v>0.15</v>
      </c>
      <c r="L98" s="138">
        <v>0.15</v>
      </c>
      <c r="M98" s="138">
        <v>0.15</v>
      </c>
      <c r="N98" s="138">
        <v>0.15</v>
      </c>
      <c r="O98" s="138">
        <v>0.15</v>
      </c>
      <c r="P98" s="138">
        <v>0.15</v>
      </c>
    </row>
    <row r="99" spans="1:17" x14ac:dyDescent="0.2">
      <c r="A99" s="201" t="s">
        <v>265</v>
      </c>
      <c r="C99" s="140">
        <v>1.6</v>
      </c>
      <c r="D99" s="140">
        <v>1.6</v>
      </c>
      <c r="E99" s="140">
        <v>1.6</v>
      </c>
      <c r="F99" s="214">
        <v>2</v>
      </c>
      <c r="G99" s="140">
        <v>2</v>
      </c>
      <c r="H99" s="140">
        <v>2</v>
      </c>
      <c r="I99" s="140">
        <v>2</v>
      </c>
      <c r="J99" s="140">
        <v>2</v>
      </c>
      <c r="K99" s="140">
        <v>2</v>
      </c>
      <c r="L99" s="140">
        <v>2</v>
      </c>
      <c r="M99" s="140">
        <v>2</v>
      </c>
      <c r="N99" s="140">
        <v>2</v>
      </c>
      <c r="O99" s="140">
        <v>2</v>
      </c>
      <c r="P99" s="140">
        <v>2</v>
      </c>
    </row>
    <row r="100" spans="1:17" x14ac:dyDescent="0.2">
      <c r="A100" s="201" t="s">
        <v>267</v>
      </c>
      <c r="C100" s="143" t="s">
        <v>269</v>
      </c>
      <c r="D100" s="166">
        <v>0.05</v>
      </c>
      <c r="E100" s="167">
        <v>0.12</v>
      </c>
      <c r="F100" s="217" t="s">
        <v>351</v>
      </c>
      <c r="G100" s="156">
        <v>0.03</v>
      </c>
      <c r="H100" s="156">
        <v>0.06</v>
      </c>
      <c r="I100" s="156">
        <v>0.06</v>
      </c>
      <c r="J100" s="156">
        <v>0.06</v>
      </c>
      <c r="K100" s="156">
        <v>0.06</v>
      </c>
      <c r="L100" s="156">
        <v>0.06</v>
      </c>
      <c r="M100" s="156">
        <v>0.06</v>
      </c>
      <c r="N100" s="156">
        <v>0.06</v>
      </c>
      <c r="O100" s="156">
        <v>0.06</v>
      </c>
      <c r="P100" s="156">
        <v>0.06</v>
      </c>
    </row>
    <row r="101" spans="1:17" x14ac:dyDescent="0.2">
      <c r="A101" s="201" t="s">
        <v>13</v>
      </c>
      <c r="C101" s="143" t="s">
        <v>275</v>
      </c>
      <c r="D101" s="21">
        <v>4</v>
      </c>
      <c r="E101" s="21">
        <v>1.5</v>
      </c>
      <c r="F101" s="147" t="s">
        <v>274</v>
      </c>
      <c r="G101" s="168">
        <v>3</v>
      </c>
      <c r="H101" s="168">
        <v>1.5</v>
      </c>
      <c r="I101" s="168">
        <v>3</v>
      </c>
      <c r="J101" s="168">
        <v>1.5</v>
      </c>
      <c r="K101" s="168">
        <v>1.5</v>
      </c>
      <c r="L101" s="168">
        <v>3</v>
      </c>
      <c r="M101" s="168">
        <v>3</v>
      </c>
      <c r="N101" s="168">
        <v>3</v>
      </c>
      <c r="O101" s="168">
        <v>1.5</v>
      </c>
      <c r="P101" s="168">
        <v>3</v>
      </c>
    </row>
    <row r="102" spans="1:17" x14ac:dyDescent="0.2">
      <c r="A102" s="201" t="s">
        <v>278</v>
      </c>
      <c r="C102" s="145" t="s">
        <v>279</v>
      </c>
      <c r="D102" s="341" t="s">
        <v>395</v>
      </c>
      <c r="E102" s="342" t="s">
        <v>396</v>
      </c>
      <c r="F102" s="219" t="s">
        <v>280</v>
      </c>
      <c r="G102" s="169" t="s">
        <v>416</v>
      </c>
      <c r="H102" s="169" t="s">
        <v>393</v>
      </c>
      <c r="I102" s="169" t="s">
        <v>417</v>
      </c>
      <c r="J102" s="169" t="s">
        <v>394</v>
      </c>
      <c r="K102" s="169" t="s">
        <v>507</v>
      </c>
      <c r="L102" s="169" t="s">
        <v>508</v>
      </c>
      <c r="M102" s="169" t="s">
        <v>393</v>
      </c>
      <c r="N102" s="169" t="s">
        <v>416</v>
      </c>
      <c r="O102" s="169" t="s">
        <v>418</v>
      </c>
      <c r="P102" s="169" t="s">
        <v>416</v>
      </c>
      <c r="Q102" s="204"/>
    </row>
    <row r="103" spans="1:17" x14ac:dyDescent="0.2">
      <c r="A103" s="201" t="s">
        <v>14</v>
      </c>
      <c r="C103" s="146">
        <v>0</v>
      </c>
      <c r="D103" s="134">
        <v>0</v>
      </c>
      <c r="E103" s="170">
        <v>0</v>
      </c>
      <c r="F103" s="221">
        <v>0.65</v>
      </c>
      <c r="G103" s="134">
        <v>0.65</v>
      </c>
      <c r="H103" s="134">
        <v>0.65</v>
      </c>
      <c r="I103" s="134">
        <v>0.65</v>
      </c>
      <c r="J103" s="134">
        <v>0.65</v>
      </c>
      <c r="K103" s="134">
        <v>0.65</v>
      </c>
      <c r="L103" s="134">
        <v>0.65</v>
      </c>
      <c r="M103" s="134">
        <v>0.65</v>
      </c>
      <c r="N103" s="134">
        <v>0.65</v>
      </c>
      <c r="O103" s="134">
        <v>0.65</v>
      </c>
      <c r="P103" s="134">
        <v>0.65</v>
      </c>
    </row>
    <row r="104" spans="1:17" ht="14.25" x14ac:dyDescent="0.2">
      <c r="A104" s="201" t="s">
        <v>352</v>
      </c>
      <c r="C104" s="145" t="s">
        <v>497</v>
      </c>
      <c r="D104" s="144" t="s">
        <v>497</v>
      </c>
      <c r="E104" s="144" t="s">
        <v>497</v>
      </c>
      <c r="F104" s="199">
        <v>-2</v>
      </c>
      <c r="G104" s="199">
        <v>-2</v>
      </c>
      <c r="H104" s="199">
        <v>-2</v>
      </c>
      <c r="I104" s="199">
        <v>-2</v>
      </c>
      <c r="J104" s="199">
        <v>-2</v>
      </c>
      <c r="K104" s="199">
        <v>-2</v>
      </c>
      <c r="L104" s="199">
        <v>-2</v>
      </c>
      <c r="M104" s="199">
        <v>-2</v>
      </c>
      <c r="N104" s="199">
        <v>-2</v>
      </c>
      <c r="O104" s="199">
        <v>-2</v>
      </c>
      <c r="P104" s="199">
        <v>-2</v>
      </c>
    </row>
    <row r="105" spans="1:17" x14ac:dyDescent="0.2">
      <c r="A105" s="201" t="s">
        <v>283</v>
      </c>
      <c r="C105" s="143">
        <v>2</v>
      </c>
      <c r="D105" s="142">
        <v>2</v>
      </c>
      <c r="E105" s="142">
        <v>2</v>
      </c>
      <c r="F105" s="147">
        <v>3.5</v>
      </c>
      <c r="G105" s="142">
        <v>3</v>
      </c>
      <c r="H105" s="142">
        <v>3</v>
      </c>
      <c r="I105" s="142">
        <v>3</v>
      </c>
      <c r="J105" s="142">
        <v>3</v>
      </c>
      <c r="K105" s="142">
        <v>3</v>
      </c>
      <c r="L105" s="142">
        <v>3</v>
      </c>
      <c r="M105" s="142">
        <v>3</v>
      </c>
      <c r="N105" s="142">
        <v>3</v>
      </c>
      <c r="O105" s="142">
        <v>3</v>
      </c>
      <c r="P105" s="142">
        <v>3</v>
      </c>
    </row>
    <row r="106" spans="1:17" x14ac:dyDescent="0.2">
      <c r="A106" s="201" t="s">
        <v>284</v>
      </c>
      <c r="C106" s="143" t="s">
        <v>285</v>
      </c>
      <c r="D106" s="142" t="s">
        <v>285</v>
      </c>
      <c r="E106" s="142" t="s">
        <v>285</v>
      </c>
      <c r="F106" s="219" t="s">
        <v>285</v>
      </c>
      <c r="G106" s="142" t="s">
        <v>285</v>
      </c>
      <c r="H106" s="142" t="s">
        <v>285</v>
      </c>
      <c r="I106" s="142" t="s">
        <v>285</v>
      </c>
      <c r="J106" s="142" t="s">
        <v>285</v>
      </c>
      <c r="K106" s="142" t="s">
        <v>285</v>
      </c>
      <c r="L106" s="142" t="s">
        <v>285</v>
      </c>
      <c r="M106" s="142" t="s">
        <v>285</v>
      </c>
      <c r="N106" s="142" t="s">
        <v>285</v>
      </c>
      <c r="O106" s="142" t="s">
        <v>285</v>
      </c>
      <c r="P106" s="142" t="s">
        <v>285</v>
      </c>
    </row>
    <row r="107" spans="1:17" x14ac:dyDescent="0.2">
      <c r="A107" s="201" t="s">
        <v>18</v>
      </c>
      <c r="C107" s="145" t="s">
        <v>286</v>
      </c>
      <c r="D107" s="144" t="s">
        <v>286</v>
      </c>
      <c r="E107" s="144" t="s">
        <v>286</v>
      </c>
      <c r="F107" s="147" t="s">
        <v>419</v>
      </c>
      <c r="G107" s="142" t="s">
        <v>419</v>
      </c>
      <c r="H107" s="142" t="s">
        <v>419</v>
      </c>
      <c r="I107" s="142" t="s">
        <v>419</v>
      </c>
      <c r="J107" s="142" t="s">
        <v>419</v>
      </c>
      <c r="K107" s="142" t="s">
        <v>419</v>
      </c>
      <c r="L107" s="142" t="s">
        <v>419</v>
      </c>
      <c r="M107" s="142" t="s">
        <v>419</v>
      </c>
      <c r="N107" s="142" t="s">
        <v>419</v>
      </c>
      <c r="O107" s="142" t="s">
        <v>419</v>
      </c>
      <c r="P107" s="142" t="s">
        <v>419</v>
      </c>
    </row>
    <row r="108" spans="1:17" x14ac:dyDescent="0.2">
      <c r="A108" s="201" t="s">
        <v>287</v>
      </c>
      <c r="C108" s="145" t="s">
        <v>286</v>
      </c>
      <c r="D108" s="142">
        <v>0</v>
      </c>
      <c r="E108" s="142">
        <v>0</v>
      </c>
      <c r="F108" s="200" t="s">
        <v>288</v>
      </c>
      <c r="G108" s="168">
        <v>0</v>
      </c>
      <c r="H108" s="168">
        <v>60</v>
      </c>
      <c r="I108" s="168">
        <v>0</v>
      </c>
      <c r="J108" s="168">
        <v>70</v>
      </c>
      <c r="K108" s="168">
        <v>90</v>
      </c>
      <c r="L108" s="21">
        <v>0</v>
      </c>
      <c r="M108" s="168">
        <v>125</v>
      </c>
      <c r="N108" s="21">
        <v>0</v>
      </c>
      <c r="O108" s="171">
        <v>100</v>
      </c>
      <c r="P108" s="172">
        <v>70</v>
      </c>
    </row>
    <row r="109" spans="1:17" x14ac:dyDescent="0.2">
      <c r="A109" s="201" t="s">
        <v>289</v>
      </c>
      <c r="C109" s="145" t="s">
        <v>291</v>
      </c>
      <c r="D109" s="142">
        <v>1.95</v>
      </c>
      <c r="E109" s="142">
        <v>1.95</v>
      </c>
      <c r="F109" s="223" t="s">
        <v>292</v>
      </c>
      <c r="G109" s="142">
        <v>8</v>
      </c>
      <c r="H109" s="142">
        <v>8</v>
      </c>
      <c r="I109" s="142">
        <v>10</v>
      </c>
      <c r="J109" s="21">
        <v>8</v>
      </c>
      <c r="K109" s="21">
        <v>8</v>
      </c>
      <c r="L109" s="21">
        <v>8</v>
      </c>
      <c r="M109" s="21">
        <v>8</v>
      </c>
      <c r="N109" s="21">
        <v>8</v>
      </c>
      <c r="O109" s="142">
        <v>15</v>
      </c>
      <c r="P109" s="142">
        <v>8</v>
      </c>
    </row>
    <row r="110" spans="1:17" x14ac:dyDescent="0.2">
      <c r="A110" s="201" t="s">
        <v>293</v>
      </c>
      <c r="C110" s="51"/>
      <c r="D110" s="142">
        <v>3</v>
      </c>
      <c r="E110" s="142">
        <v>3</v>
      </c>
      <c r="F110" s="200" t="s">
        <v>294</v>
      </c>
      <c r="G110" s="142">
        <v>2</v>
      </c>
      <c r="H110" s="142">
        <v>11</v>
      </c>
      <c r="I110" s="21">
        <v>6</v>
      </c>
      <c r="J110" s="142">
        <v>11</v>
      </c>
      <c r="K110" s="142">
        <v>8</v>
      </c>
      <c r="L110" s="142">
        <v>4</v>
      </c>
      <c r="M110" s="142">
        <v>1</v>
      </c>
      <c r="N110" s="142">
        <v>1</v>
      </c>
      <c r="O110" s="142">
        <v>1</v>
      </c>
      <c r="P110" s="142">
        <v>1</v>
      </c>
    </row>
    <row r="111" spans="1:17" x14ac:dyDescent="0.2">
      <c r="A111" s="201" t="s">
        <v>295</v>
      </c>
      <c r="C111" s="51"/>
      <c r="D111" s="142">
        <v>5.0999999999999996</v>
      </c>
      <c r="E111" s="142">
        <v>5.0999999999999996</v>
      </c>
      <c r="F111" s="200" t="s">
        <v>294</v>
      </c>
      <c r="G111" s="21">
        <v>3.8</v>
      </c>
      <c r="H111" s="142">
        <v>1.6</v>
      </c>
      <c r="I111" s="142">
        <v>4.5</v>
      </c>
      <c r="J111" s="142">
        <v>1.6</v>
      </c>
      <c r="K111" s="142">
        <v>5.0999999999999996</v>
      </c>
      <c r="L111" s="142">
        <v>5.0999999999999996</v>
      </c>
      <c r="M111" s="142">
        <v>5.0999999999999996</v>
      </c>
      <c r="N111" s="142">
        <v>18.899999999999999</v>
      </c>
      <c r="O111" s="142">
        <v>2.7</v>
      </c>
      <c r="P111" s="142">
        <v>3.5</v>
      </c>
    </row>
    <row r="112" spans="1:17" x14ac:dyDescent="0.2">
      <c r="A112" s="201" t="s">
        <v>296</v>
      </c>
      <c r="C112" s="145" t="s">
        <v>298</v>
      </c>
      <c r="D112" s="142">
        <v>1.5</v>
      </c>
      <c r="E112" s="142">
        <v>1.5</v>
      </c>
      <c r="F112" s="200" t="s">
        <v>297</v>
      </c>
      <c r="G112" s="21">
        <v>6</v>
      </c>
      <c r="H112" s="142">
        <v>4</v>
      </c>
      <c r="I112" s="21">
        <v>12</v>
      </c>
      <c r="J112" s="21">
        <v>6</v>
      </c>
      <c r="K112" s="21">
        <v>2</v>
      </c>
      <c r="L112" s="21">
        <v>3</v>
      </c>
      <c r="M112" s="21">
        <v>2</v>
      </c>
      <c r="N112" s="21">
        <v>10</v>
      </c>
      <c r="O112" s="142">
        <v>10</v>
      </c>
      <c r="P112" s="142">
        <v>3.2</v>
      </c>
    </row>
    <row r="113" spans="1:16" x14ac:dyDescent="0.2">
      <c r="A113" s="21" t="s">
        <v>19</v>
      </c>
      <c r="B113" s="204"/>
      <c r="C113" s="144"/>
      <c r="D113" s="142">
        <v>0.65</v>
      </c>
      <c r="E113" s="142">
        <v>0.65</v>
      </c>
      <c r="F113" s="147">
        <v>0.65</v>
      </c>
      <c r="G113" s="142">
        <v>0.65</v>
      </c>
      <c r="H113" s="142">
        <v>0.65</v>
      </c>
      <c r="I113" s="142">
        <v>0.65</v>
      </c>
      <c r="J113" s="142">
        <v>0.65</v>
      </c>
      <c r="K113" s="142">
        <v>0.65</v>
      </c>
      <c r="L113" s="142">
        <v>0.65</v>
      </c>
      <c r="M113" s="142">
        <v>0.65</v>
      </c>
      <c r="N113" s="142">
        <v>0.65</v>
      </c>
      <c r="O113" s="142">
        <v>0.65</v>
      </c>
      <c r="P113" s="142">
        <v>0.65</v>
      </c>
    </row>
    <row r="114" spans="1:16" x14ac:dyDescent="0.2">
      <c r="A114" s="21" t="s">
        <v>20</v>
      </c>
      <c r="B114" s="204"/>
      <c r="C114" s="144"/>
      <c r="D114" s="59" t="s">
        <v>15</v>
      </c>
      <c r="E114" s="59" t="s">
        <v>15</v>
      </c>
      <c r="F114" s="147">
        <v>0.13</v>
      </c>
      <c r="G114" s="59" t="s">
        <v>15</v>
      </c>
      <c r="H114" s="142">
        <v>0.13</v>
      </c>
      <c r="I114" s="142">
        <v>0.13</v>
      </c>
      <c r="J114" s="142">
        <v>0.13</v>
      </c>
      <c r="K114" s="142">
        <v>0.13</v>
      </c>
      <c r="L114" s="142">
        <v>0.13</v>
      </c>
      <c r="M114" s="142">
        <v>0.13</v>
      </c>
      <c r="N114" s="142">
        <v>0.13</v>
      </c>
      <c r="O114" s="142">
        <v>0.13</v>
      </c>
      <c r="P114" s="142">
        <v>0.13</v>
      </c>
    </row>
    <row r="115" spans="1:16" x14ac:dyDescent="0.2">
      <c r="A115" s="21" t="s">
        <v>21</v>
      </c>
      <c r="B115" s="204"/>
      <c r="C115" s="144"/>
      <c r="D115" s="59" t="s">
        <v>15</v>
      </c>
      <c r="E115" s="59" t="s">
        <v>15</v>
      </c>
      <c r="F115" s="147" t="s">
        <v>17</v>
      </c>
      <c r="G115" s="59" t="s">
        <v>15</v>
      </c>
      <c r="H115" s="142" t="s">
        <v>17</v>
      </c>
      <c r="I115" s="142" t="s">
        <v>17</v>
      </c>
      <c r="J115" s="142" t="s">
        <v>17</v>
      </c>
      <c r="K115" s="142" t="s">
        <v>17</v>
      </c>
      <c r="L115" s="142" t="s">
        <v>17</v>
      </c>
      <c r="M115" s="142" t="s">
        <v>17</v>
      </c>
      <c r="N115" s="142" t="s">
        <v>17</v>
      </c>
      <c r="O115" s="142" t="s">
        <v>17</v>
      </c>
      <c r="P115" s="142" t="s">
        <v>17</v>
      </c>
    </row>
    <row r="116" spans="1:16" x14ac:dyDescent="0.2">
      <c r="A116" s="157"/>
      <c r="C116" s="204"/>
      <c r="D116" s="204"/>
      <c r="E116" s="204"/>
      <c r="F116" s="173"/>
      <c r="G116" s="155"/>
      <c r="H116" s="173"/>
      <c r="I116" s="155"/>
      <c r="J116" s="173"/>
      <c r="K116" s="155"/>
      <c r="L116" s="173"/>
      <c r="M116" s="155"/>
      <c r="N116" s="173"/>
      <c r="O116" s="155"/>
      <c r="P116" s="21"/>
    </row>
    <row r="117" spans="1:16" x14ac:dyDescent="0.2">
      <c r="A117" s="202"/>
      <c r="C117" s="204"/>
      <c r="D117" s="204"/>
      <c r="E117" s="204"/>
      <c r="F117" s="206"/>
      <c r="G117" s="224"/>
      <c r="H117" s="206"/>
      <c r="I117" s="224"/>
      <c r="J117" s="206"/>
      <c r="K117" s="224"/>
      <c r="L117" s="206"/>
      <c r="M117" s="224"/>
      <c r="N117" s="206"/>
      <c r="O117" s="224"/>
    </row>
    <row r="118" spans="1:16" x14ac:dyDescent="0.2">
      <c r="A118" s="202" t="s">
        <v>10</v>
      </c>
      <c r="C118" s="126" t="s">
        <v>10</v>
      </c>
      <c r="D118" s="174" t="str">
        <f>C118</f>
        <v>TEK 87</v>
      </c>
      <c r="E118" s="174" t="str">
        <f>D118</f>
        <v>TEK 87</v>
      </c>
      <c r="F118" s="126" t="s">
        <v>10</v>
      </c>
      <c r="G118" s="174" t="str">
        <f>F118</f>
        <v>TEK 87</v>
      </c>
      <c r="H118" s="174" t="str">
        <f t="shared" ref="H118:P118" si="3">G118</f>
        <v>TEK 87</v>
      </c>
      <c r="I118" s="174" t="str">
        <f t="shared" si="3"/>
        <v>TEK 87</v>
      </c>
      <c r="J118" s="174" t="str">
        <f t="shared" si="3"/>
        <v>TEK 87</v>
      </c>
      <c r="K118" s="174" t="str">
        <f t="shared" si="3"/>
        <v>TEK 87</v>
      </c>
      <c r="L118" s="174" t="str">
        <f t="shared" si="3"/>
        <v>TEK 87</v>
      </c>
      <c r="M118" s="174" t="str">
        <f t="shared" si="3"/>
        <v>TEK 87</v>
      </c>
      <c r="N118" s="174" t="str">
        <f t="shared" si="3"/>
        <v>TEK 87</v>
      </c>
      <c r="O118" s="174" t="str">
        <f t="shared" si="3"/>
        <v>TEK 87</v>
      </c>
      <c r="P118" s="174" t="str">
        <f t="shared" si="3"/>
        <v>TEK 87</v>
      </c>
    </row>
    <row r="119" spans="1:16" x14ac:dyDescent="0.2">
      <c r="A119" s="202" t="s">
        <v>300</v>
      </c>
      <c r="C119" s="175" t="s">
        <v>251</v>
      </c>
      <c r="D119" s="176" t="s">
        <v>11</v>
      </c>
      <c r="E119" s="176" t="s">
        <v>1</v>
      </c>
      <c r="F119" s="175" t="s">
        <v>250</v>
      </c>
      <c r="G119" s="176" t="s">
        <v>97</v>
      </c>
      <c r="H119" s="176" t="s">
        <v>98</v>
      </c>
      <c r="I119" s="176" t="s">
        <v>99</v>
      </c>
      <c r="J119" s="176" t="s">
        <v>100</v>
      </c>
      <c r="K119" s="176" t="s">
        <v>101</v>
      </c>
      <c r="L119" s="176" t="s">
        <v>102</v>
      </c>
      <c r="M119" s="176" t="s">
        <v>103</v>
      </c>
      <c r="N119" s="176" t="s">
        <v>104</v>
      </c>
      <c r="O119" s="176" t="s">
        <v>105</v>
      </c>
      <c r="P119" s="176" t="s">
        <v>106</v>
      </c>
    </row>
    <row r="121" spans="1:16" x14ac:dyDescent="0.2">
      <c r="A121" s="201" t="s">
        <v>12</v>
      </c>
      <c r="C121" s="136">
        <v>0.2</v>
      </c>
      <c r="D121" s="134">
        <v>0.2</v>
      </c>
      <c r="E121" s="134">
        <v>0.2</v>
      </c>
      <c r="F121" s="136">
        <v>0.2</v>
      </c>
      <c r="G121" s="134">
        <v>0.2</v>
      </c>
      <c r="H121" s="134">
        <v>0.2</v>
      </c>
      <c r="I121" s="134">
        <v>0.2</v>
      </c>
      <c r="J121" s="134">
        <v>0.2</v>
      </c>
      <c r="K121" s="134">
        <v>0.2</v>
      </c>
      <c r="L121" s="134">
        <v>0.2</v>
      </c>
      <c r="M121" s="134">
        <v>0.2</v>
      </c>
      <c r="N121" s="134">
        <v>0.2</v>
      </c>
      <c r="O121" s="134">
        <v>0.2</v>
      </c>
      <c r="P121" s="134">
        <v>0.2</v>
      </c>
    </row>
    <row r="122" spans="1:16" x14ac:dyDescent="0.2">
      <c r="A122" s="201" t="s">
        <v>252</v>
      </c>
      <c r="C122" s="141">
        <v>0.3</v>
      </c>
      <c r="D122" s="138">
        <v>0.3</v>
      </c>
      <c r="E122" s="138">
        <v>0.3</v>
      </c>
      <c r="F122" s="209">
        <v>0.3</v>
      </c>
      <c r="G122" s="138">
        <v>0.3</v>
      </c>
      <c r="H122" s="138">
        <v>0.3</v>
      </c>
      <c r="I122" s="138">
        <v>0.3</v>
      </c>
      <c r="J122" s="138">
        <v>0.3</v>
      </c>
      <c r="K122" s="138">
        <v>0.3</v>
      </c>
      <c r="L122" s="138">
        <v>0.3</v>
      </c>
      <c r="M122" s="138">
        <v>0.3</v>
      </c>
      <c r="N122" s="138">
        <v>0.3</v>
      </c>
      <c r="O122" s="138">
        <v>0.3</v>
      </c>
      <c r="P122" s="138">
        <v>0.3</v>
      </c>
    </row>
    <row r="123" spans="1:16" x14ac:dyDescent="0.2">
      <c r="A123" s="201" t="s">
        <v>256</v>
      </c>
      <c r="C123" s="137" t="s">
        <v>258</v>
      </c>
      <c r="D123" s="138">
        <v>0.25</v>
      </c>
      <c r="E123" s="138">
        <v>0.2</v>
      </c>
      <c r="F123" s="209">
        <v>0.3</v>
      </c>
      <c r="G123" s="138">
        <v>0.3</v>
      </c>
      <c r="H123" s="138">
        <v>0.3</v>
      </c>
      <c r="I123" s="138">
        <v>0.3</v>
      </c>
      <c r="J123" s="138">
        <v>0.3</v>
      </c>
      <c r="K123" s="138">
        <v>0.3</v>
      </c>
      <c r="L123" s="138">
        <v>0.3</v>
      </c>
      <c r="M123" s="138">
        <v>0.3</v>
      </c>
      <c r="N123" s="138">
        <v>0.3</v>
      </c>
      <c r="O123" s="138">
        <v>0.3</v>
      </c>
      <c r="P123" s="138">
        <v>0.3</v>
      </c>
    </row>
    <row r="124" spans="1:16" x14ac:dyDescent="0.2">
      <c r="A124" s="201" t="s">
        <v>262</v>
      </c>
      <c r="C124" s="137" t="s">
        <v>264</v>
      </c>
      <c r="D124" s="138">
        <v>0.18</v>
      </c>
      <c r="E124" s="138">
        <v>0.2</v>
      </c>
      <c r="F124" s="209">
        <v>0.2</v>
      </c>
      <c r="G124" s="138">
        <v>0.2</v>
      </c>
      <c r="H124" s="138">
        <v>0.2</v>
      </c>
      <c r="I124" s="138">
        <v>0.2</v>
      </c>
      <c r="J124" s="138">
        <v>0.2</v>
      </c>
      <c r="K124" s="138">
        <v>0.2</v>
      </c>
      <c r="L124" s="138">
        <v>0.2</v>
      </c>
      <c r="M124" s="138">
        <v>0.2</v>
      </c>
      <c r="N124" s="138">
        <v>0.2</v>
      </c>
      <c r="O124" s="138">
        <v>0.2</v>
      </c>
      <c r="P124" s="138">
        <v>0.2</v>
      </c>
    </row>
    <row r="125" spans="1:16" x14ac:dyDescent="0.2">
      <c r="A125" s="201" t="s">
        <v>265</v>
      </c>
      <c r="C125" s="141" t="s">
        <v>266</v>
      </c>
      <c r="D125" s="140">
        <v>2.4</v>
      </c>
      <c r="E125" s="140">
        <v>2.4</v>
      </c>
      <c r="F125" s="214">
        <v>2.4</v>
      </c>
      <c r="G125" s="140">
        <v>2.4</v>
      </c>
      <c r="H125" s="140">
        <v>2.4</v>
      </c>
      <c r="I125" s="140">
        <v>2.4</v>
      </c>
      <c r="J125" s="140">
        <v>2.4</v>
      </c>
      <c r="K125" s="140">
        <v>2.4</v>
      </c>
      <c r="L125" s="140">
        <v>2.4</v>
      </c>
      <c r="M125" s="140">
        <v>2.4</v>
      </c>
      <c r="N125" s="140">
        <v>2.4</v>
      </c>
      <c r="O125" s="140">
        <v>2.4</v>
      </c>
      <c r="P125" s="140">
        <v>2.4</v>
      </c>
    </row>
    <row r="126" spans="1:16" x14ac:dyDescent="0.2">
      <c r="A126" s="201" t="s">
        <v>267</v>
      </c>
      <c r="C126" s="143" t="s">
        <v>269</v>
      </c>
      <c r="D126" s="166">
        <v>0.05</v>
      </c>
      <c r="E126" s="167">
        <v>0.12</v>
      </c>
      <c r="F126" s="143" t="s">
        <v>270</v>
      </c>
      <c r="G126" s="156">
        <v>0.05</v>
      </c>
      <c r="H126" s="156">
        <v>0.12</v>
      </c>
      <c r="I126" s="156">
        <v>0.12</v>
      </c>
      <c r="J126" s="156">
        <v>0.12</v>
      </c>
      <c r="K126" s="156">
        <v>0.12</v>
      </c>
      <c r="L126" s="156">
        <v>0.05</v>
      </c>
      <c r="M126" s="156">
        <v>0.12</v>
      </c>
      <c r="N126" s="156">
        <v>0.12</v>
      </c>
      <c r="O126" s="156">
        <v>0.12</v>
      </c>
      <c r="P126" s="156">
        <v>0.12</v>
      </c>
    </row>
    <row r="127" spans="1:16" x14ac:dyDescent="0.2">
      <c r="A127" s="201" t="s">
        <v>13</v>
      </c>
      <c r="C127" s="143" t="s">
        <v>275</v>
      </c>
      <c r="D127" s="21">
        <v>4</v>
      </c>
      <c r="E127" s="21">
        <v>1.5</v>
      </c>
      <c r="F127" s="143" t="s">
        <v>274</v>
      </c>
      <c r="G127" s="168">
        <v>3</v>
      </c>
      <c r="H127" s="168">
        <v>1.5</v>
      </c>
      <c r="I127" s="168">
        <v>3</v>
      </c>
      <c r="J127" s="168">
        <v>1.5</v>
      </c>
      <c r="K127" s="168">
        <v>1.5</v>
      </c>
      <c r="L127" s="168">
        <v>3</v>
      </c>
      <c r="M127" s="168">
        <v>3</v>
      </c>
      <c r="N127" s="168">
        <v>3</v>
      </c>
      <c r="O127" s="168">
        <v>1.5</v>
      </c>
      <c r="P127" s="168">
        <v>3</v>
      </c>
    </row>
    <row r="128" spans="1:16" x14ac:dyDescent="0.2">
      <c r="A128" s="201" t="s">
        <v>278</v>
      </c>
      <c r="C128" s="145" t="s">
        <v>279</v>
      </c>
      <c r="D128" s="341" t="s">
        <v>395</v>
      </c>
      <c r="E128" s="342" t="s">
        <v>396</v>
      </c>
      <c r="F128" s="147" t="s">
        <v>412</v>
      </c>
      <c r="G128" s="342" t="s">
        <v>416</v>
      </c>
      <c r="H128" s="342" t="s">
        <v>393</v>
      </c>
      <c r="I128" s="342" t="s">
        <v>417</v>
      </c>
      <c r="J128" s="342" t="s">
        <v>394</v>
      </c>
      <c r="K128" s="342" t="s">
        <v>507</v>
      </c>
      <c r="L128" s="342" t="s">
        <v>508</v>
      </c>
      <c r="M128" s="342" t="s">
        <v>393</v>
      </c>
      <c r="N128" s="342" t="s">
        <v>416</v>
      </c>
      <c r="O128" s="342" t="s">
        <v>418</v>
      </c>
      <c r="P128" s="342" t="s">
        <v>416</v>
      </c>
    </row>
    <row r="129" spans="1:16" x14ac:dyDescent="0.2">
      <c r="A129" s="201" t="s">
        <v>14</v>
      </c>
      <c r="C129" s="146">
        <v>0</v>
      </c>
      <c r="D129" s="134">
        <v>0</v>
      </c>
      <c r="E129" s="170">
        <v>0</v>
      </c>
      <c r="F129" s="221">
        <v>0.6</v>
      </c>
      <c r="G129" s="134">
        <v>0.6</v>
      </c>
      <c r="H129" s="134">
        <v>0.6</v>
      </c>
      <c r="I129" s="134">
        <v>0.6</v>
      </c>
      <c r="J129" s="134">
        <v>0.6</v>
      </c>
      <c r="K129" s="134">
        <v>0.6</v>
      </c>
      <c r="L129" s="134">
        <v>0.6</v>
      </c>
      <c r="M129" s="134">
        <v>0.6</v>
      </c>
      <c r="N129" s="134">
        <v>0.6</v>
      </c>
      <c r="O129" s="134">
        <v>0.6</v>
      </c>
      <c r="P129" s="134">
        <v>0.6</v>
      </c>
    </row>
    <row r="130" spans="1:16" ht="14.25" x14ac:dyDescent="0.2">
      <c r="A130" s="201" t="s">
        <v>352</v>
      </c>
      <c r="C130" s="145" t="s">
        <v>497</v>
      </c>
      <c r="D130" s="144" t="s">
        <v>497</v>
      </c>
      <c r="E130" s="144" t="s">
        <v>497</v>
      </c>
      <c r="F130" s="222">
        <v>-2</v>
      </c>
      <c r="G130" s="199">
        <v>-2</v>
      </c>
      <c r="H130" s="199">
        <v>-2</v>
      </c>
      <c r="I130" s="199">
        <v>-2</v>
      </c>
      <c r="J130" s="199">
        <v>-2</v>
      </c>
      <c r="K130" s="199">
        <v>-2</v>
      </c>
      <c r="L130" s="199">
        <v>-2</v>
      </c>
      <c r="M130" s="199">
        <v>-2</v>
      </c>
      <c r="N130" s="199">
        <v>-2</v>
      </c>
      <c r="O130" s="199">
        <v>-2</v>
      </c>
      <c r="P130" s="199">
        <v>-2</v>
      </c>
    </row>
    <row r="131" spans="1:16" x14ac:dyDescent="0.2">
      <c r="A131" s="201" t="s">
        <v>283</v>
      </c>
      <c r="C131" s="143">
        <v>2</v>
      </c>
      <c r="D131" s="142">
        <v>2</v>
      </c>
      <c r="E131" s="142">
        <v>2</v>
      </c>
      <c r="F131" s="147">
        <v>4</v>
      </c>
      <c r="G131" s="142">
        <v>4</v>
      </c>
      <c r="H131" s="142">
        <v>4</v>
      </c>
      <c r="I131" s="142">
        <v>4</v>
      </c>
      <c r="J131" s="142">
        <v>4</v>
      </c>
      <c r="K131" s="142">
        <v>4</v>
      </c>
      <c r="L131" s="142">
        <v>4</v>
      </c>
      <c r="M131" s="142">
        <v>4</v>
      </c>
      <c r="N131" s="142">
        <v>4</v>
      </c>
      <c r="O131" s="142">
        <v>4</v>
      </c>
      <c r="P131" s="142">
        <v>4</v>
      </c>
    </row>
    <row r="132" spans="1:16" x14ac:dyDescent="0.2">
      <c r="A132" s="201" t="s">
        <v>284</v>
      </c>
      <c r="C132" s="143" t="s">
        <v>285</v>
      </c>
      <c r="D132" s="142" t="s">
        <v>285</v>
      </c>
      <c r="E132" s="142" t="s">
        <v>285</v>
      </c>
      <c r="F132" s="219" t="s">
        <v>285</v>
      </c>
      <c r="G132" s="142" t="s">
        <v>285</v>
      </c>
      <c r="H132" s="142" t="s">
        <v>285</v>
      </c>
      <c r="I132" s="142" t="s">
        <v>285</v>
      </c>
      <c r="J132" s="142" t="s">
        <v>285</v>
      </c>
      <c r="K132" s="142" t="s">
        <v>285</v>
      </c>
      <c r="L132" s="142" t="s">
        <v>285</v>
      </c>
      <c r="M132" s="142" t="s">
        <v>285</v>
      </c>
      <c r="N132" s="142" t="s">
        <v>285</v>
      </c>
      <c r="O132" s="142" t="s">
        <v>285</v>
      </c>
      <c r="P132" s="142" t="s">
        <v>285</v>
      </c>
    </row>
    <row r="133" spans="1:16" x14ac:dyDescent="0.2">
      <c r="A133" s="201" t="s">
        <v>18</v>
      </c>
      <c r="C133" s="145" t="s">
        <v>286</v>
      </c>
      <c r="D133" s="144" t="s">
        <v>286</v>
      </c>
      <c r="E133" s="144" t="s">
        <v>286</v>
      </c>
      <c r="F133" s="147" t="s">
        <v>419</v>
      </c>
      <c r="G133" s="142" t="s">
        <v>419</v>
      </c>
      <c r="H133" s="142" t="s">
        <v>419</v>
      </c>
      <c r="I133" s="142" t="s">
        <v>419</v>
      </c>
      <c r="J133" s="142" t="s">
        <v>419</v>
      </c>
      <c r="K133" s="142" t="s">
        <v>419</v>
      </c>
      <c r="L133" s="142" t="s">
        <v>419</v>
      </c>
      <c r="M133" s="142" t="s">
        <v>419</v>
      </c>
      <c r="N133" s="142" t="s">
        <v>419</v>
      </c>
      <c r="O133" s="142" t="s">
        <v>419</v>
      </c>
      <c r="P133" s="142" t="s">
        <v>419</v>
      </c>
    </row>
    <row r="134" spans="1:16" x14ac:dyDescent="0.2">
      <c r="A134" s="201" t="s">
        <v>287</v>
      </c>
      <c r="C134" s="145" t="s">
        <v>286</v>
      </c>
      <c r="D134" s="142">
        <v>0</v>
      </c>
      <c r="E134" s="142">
        <v>0</v>
      </c>
      <c r="F134" s="200" t="s">
        <v>288</v>
      </c>
      <c r="G134" s="168">
        <v>0</v>
      </c>
      <c r="H134" s="168">
        <v>60</v>
      </c>
      <c r="I134" s="168">
        <v>0</v>
      </c>
      <c r="J134" s="168">
        <v>70</v>
      </c>
      <c r="K134" s="168">
        <v>90</v>
      </c>
      <c r="L134" s="21">
        <v>0</v>
      </c>
      <c r="M134" s="168">
        <v>125</v>
      </c>
      <c r="N134" s="21">
        <v>0</v>
      </c>
      <c r="O134" s="171">
        <v>100</v>
      </c>
      <c r="P134" s="172">
        <v>70</v>
      </c>
    </row>
    <row r="135" spans="1:16" x14ac:dyDescent="0.2">
      <c r="A135" s="201" t="s">
        <v>289</v>
      </c>
      <c r="C135" s="145" t="s">
        <v>410</v>
      </c>
      <c r="D135" s="142">
        <v>1.95</v>
      </c>
      <c r="E135" s="142">
        <v>1.95</v>
      </c>
      <c r="F135" s="223" t="s">
        <v>546</v>
      </c>
      <c r="G135" s="177">
        <f>8*10/8</f>
        <v>10</v>
      </c>
      <c r="H135" s="177">
        <f>8*10/8</f>
        <v>10</v>
      </c>
      <c r="I135" s="177">
        <f>10*10/8</f>
        <v>12.5</v>
      </c>
      <c r="J135" s="178">
        <f>8*10/8</f>
        <v>10</v>
      </c>
      <c r="K135" s="178">
        <f>8*10/8</f>
        <v>10</v>
      </c>
      <c r="L135" s="178">
        <f>8*10/8</f>
        <v>10</v>
      </c>
      <c r="M135" s="178">
        <f>8*10/8</f>
        <v>10</v>
      </c>
      <c r="N135" s="178">
        <f>8*10/8</f>
        <v>10</v>
      </c>
      <c r="O135" s="177">
        <f>15*10/8</f>
        <v>18.75</v>
      </c>
      <c r="P135" s="177">
        <f>8*10/8</f>
        <v>10</v>
      </c>
    </row>
    <row r="136" spans="1:16" x14ac:dyDescent="0.2">
      <c r="A136" s="201" t="s">
        <v>293</v>
      </c>
      <c r="C136" s="145" t="s">
        <v>410</v>
      </c>
      <c r="D136" s="142">
        <v>3</v>
      </c>
      <c r="E136" s="142">
        <v>3</v>
      </c>
      <c r="F136" s="145" t="s">
        <v>410</v>
      </c>
      <c r="G136" s="142">
        <v>2</v>
      </c>
      <c r="H136" s="142">
        <v>11</v>
      </c>
      <c r="I136" s="21">
        <v>6</v>
      </c>
      <c r="J136" s="142">
        <v>11</v>
      </c>
      <c r="K136" s="142">
        <v>8</v>
      </c>
      <c r="L136" s="142">
        <v>4</v>
      </c>
      <c r="M136" s="142">
        <v>1</v>
      </c>
      <c r="N136" s="142">
        <v>1</v>
      </c>
      <c r="O136" s="142">
        <v>1</v>
      </c>
      <c r="P136" s="142">
        <v>1</v>
      </c>
    </row>
    <row r="137" spans="1:16" x14ac:dyDescent="0.2">
      <c r="A137" s="201" t="s">
        <v>295</v>
      </c>
      <c r="C137" s="145" t="s">
        <v>410</v>
      </c>
      <c r="D137" s="142">
        <v>5.0999999999999996</v>
      </c>
      <c r="E137" s="142">
        <v>5.0999999999999996</v>
      </c>
      <c r="F137" s="145" t="s">
        <v>410</v>
      </c>
      <c r="G137" s="21">
        <v>3.8</v>
      </c>
      <c r="H137" s="142">
        <v>1.6</v>
      </c>
      <c r="I137" s="142">
        <v>4.5</v>
      </c>
      <c r="J137" s="142">
        <v>1.6</v>
      </c>
      <c r="K137" s="142">
        <v>5.0999999999999996</v>
      </c>
      <c r="L137" s="142">
        <v>5.0999999999999996</v>
      </c>
      <c r="M137" s="142">
        <v>5.0999999999999996</v>
      </c>
      <c r="N137" s="142">
        <v>18.899999999999999</v>
      </c>
      <c r="O137" s="142">
        <v>2.7</v>
      </c>
      <c r="P137" s="142">
        <v>3.5</v>
      </c>
    </row>
    <row r="138" spans="1:16" x14ac:dyDescent="0.2">
      <c r="A138" s="201" t="s">
        <v>296</v>
      </c>
      <c r="C138" s="145" t="s">
        <v>414</v>
      </c>
      <c r="D138" s="142">
        <v>1.5</v>
      </c>
      <c r="E138" s="142">
        <v>1.5</v>
      </c>
      <c r="F138" s="145" t="s">
        <v>414</v>
      </c>
      <c r="G138" s="21">
        <v>6</v>
      </c>
      <c r="H138" s="142">
        <v>4</v>
      </c>
      <c r="I138" s="21">
        <v>12</v>
      </c>
      <c r="J138" s="21">
        <v>6</v>
      </c>
      <c r="K138" s="21">
        <v>2</v>
      </c>
      <c r="L138" s="21">
        <v>3</v>
      </c>
      <c r="M138" s="21">
        <v>2</v>
      </c>
      <c r="N138" s="21">
        <v>10</v>
      </c>
      <c r="O138" s="142">
        <v>10</v>
      </c>
      <c r="P138" s="142">
        <v>3.2</v>
      </c>
    </row>
    <row r="139" spans="1:16" x14ac:dyDescent="0.2">
      <c r="A139" s="21" t="s">
        <v>19</v>
      </c>
      <c r="B139" s="204"/>
      <c r="C139" s="143"/>
      <c r="D139" s="142">
        <v>0.7</v>
      </c>
      <c r="E139" s="142">
        <v>0.7</v>
      </c>
      <c r="F139" s="147">
        <v>0.7</v>
      </c>
      <c r="G139" s="142">
        <v>0.7</v>
      </c>
      <c r="H139" s="142">
        <v>0.7</v>
      </c>
      <c r="I139" s="142">
        <v>0.7</v>
      </c>
      <c r="J139" s="142">
        <v>0.7</v>
      </c>
      <c r="K139" s="142">
        <v>0.7</v>
      </c>
      <c r="L139" s="142">
        <v>0.7</v>
      </c>
      <c r="M139" s="142">
        <v>0.7</v>
      </c>
      <c r="N139" s="142">
        <v>0.7</v>
      </c>
      <c r="O139" s="142">
        <v>0.7</v>
      </c>
      <c r="P139" s="142">
        <v>0.7</v>
      </c>
    </row>
    <row r="140" spans="1:16" x14ac:dyDescent="0.2">
      <c r="A140" s="21" t="s">
        <v>20</v>
      </c>
      <c r="B140" s="204"/>
      <c r="C140" s="144"/>
      <c r="D140" s="59" t="s">
        <v>15</v>
      </c>
      <c r="E140" s="59" t="s">
        <v>15</v>
      </c>
      <c r="F140" s="147">
        <v>0.13999999999999999</v>
      </c>
      <c r="G140" s="59" t="s">
        <v>15</v>
      </c>
      <c r="H140" s="142">
        <v>0.13999999999999999</v>
      </c>
      <c r="I140" s="142">
        <v>0.13999999999999999</v>
      </c>
      <c r="J140" s="142">
        <v>0.14000000000000001</v>
      </c>
      <c r="K140" s="142">
        <v>0.14000000000000001</v>
      </c>
      <c r="L140" s="142">
        <v>0.14000000000000001</v>
      </c>
      <c r="M140" s="142">
        <v>0.14000000000000001</v>
      </c>
      <c r="N140" s="142">
        <v>0.14000000000000001</v>
      </c>
      <c r="O140" s="142">
        <v>0.14000000000000001</v>
      </c>
      <c r="P140" s="142">
        <v>0.14000000000000001</v>
      </c>
    </row>
    <row r="141" spans="1:16" x14ac:dyDescent="0.2">
      <c r="A141" s="21" t="s">
        <v>21</v>
      </c>
      <c r="B141" s="204"/>
      <c r="C141" s="144"/>
      <c r="D141" s="59" t="s">
        <v>15</v>
      </c>
      <c r="E141" s="59" t="s">
        <v>15</v>
      </c>
      <c r="F141" s="147" t="s">
        <v>17</v>
      </c>
      <c r="G141" s="59" t="s">
        <v>15</v>
      </c>
      <c r="H141" s="142" t="s">
        <v>17</v>
      </c>
      <c r="I141" s="142" t="s">
        <v>17</v>
      </c>
      <c r="J141" s="142" t="s">
        <v>17</v>
      </c>
      <c r="K141" s="142" t="s">
        <v>17</v>
      </c>
      <c r="L141" s="142" t="s">
        <v>17</v>
      </c>
      <c r="M141" s="142" t="s">
        <v>17</v>
      </c>
      <c r="N141" s="142" t="s">
        <v>17</v>
      </c>
      <c r="O141" s="142" t="s">
        <v>17</v>
      </c>
      <c r="P141" s="142" t="s">
        <v>17</v>
      </c>
    </row>
    <row r="142" spans="1:16" x14ac:dyDescent="0.2">
      <c r="A142" s="157"/>
      <c r="C142" s="204"/>
      <c r="D142" s="204"/>
      <c r="E142" s="204"/>
      <c r="F142" s="206"/>
      <c r="G142" s="224"/>
      <c r="H142" s="206"/>
      <c r="I142" s="224"/>
      <c r="J142" s="206"/>
      <c r="K142" s="224"/>
      <c r="L142" s="206"/>
      <c r="M142" s="224"/>
      <c r="N142" s="206"/>
      <c r="O142" s="224"/>
    </row>
    <row r="143" spans="1:16" x14ac:dyDescent="0.2">
      <c r="A143" s="202"/>
      <c r="C143" s="204"/>
      <c r="D143" s="204"/>
      <c r="E143" s="204"/>
      <c r="F143" s="206"/>
      <c r="G143" s="224"/>
      <c r="H143" s="206"/>
      <c r="I143" s="224"/>
      <c r="J143" s="206"/>
      <c r="K143" s="224"/>
      <c r="L143" s="206"/>
      <c r="M143" s="224"/>
      <c r="N143" s="206"/>
      <c r="O143" s="224"/>
    </row>
    <row r="144" spans="1:16" x14ac:dyDescent="0.2">
      <c r="A144" s="202" t="s">
        <v>9</v>
      </c>
      <c r="C144" s="127" t="s">
        <v>9</v>
      </c>
      <c r="D144" s="179" t="str">
        <f t="shared" ref="D144:E144" si="4">C144</f>
        <v>TEK 69</v>
      </c>
      <c r="E144" s="179" t="str">
        <f t="shared" si="4"/>
        <v>TEK 69</v>
      </c>
      <c r="F144" s="127" t="s">
        <v>9</v>
      </c>
      <c r="G144" s="179" t="str">
        <f>F144</f>
        <v>TEK 69</v>
      </c>
      <c r="H144" s="179" t="str">
        <f t="shared" ref="H144:P144" si="5">G144</f>
        <v>TEK 69</v>
      </c>
      <c r="I144" s="179" t="str">
        <f t="shared" si="5"/>
        <v>TEK 69</v>
      </c>
      <c r="J144" s="179" t="str">
        <f t="shared" si="5"/>
        <v>TEK 69</v>
      </c>
      <c r="K144" s="179" t="str">
        <f t="shared" si="5"/>
        <v>TEK 69</v>
      </c>
      <c r="L144" s="179" t="str">
        <f t="shared" si="5"/>
        <v>TEK 69</v>
      </c>
      <c r="M144" s="179" t="str">
        <f t="shared" si="5"/>
        <v>TEK 69</v>
      </c>
      <c r="N144" s="179" t="str">
        <f t="shared" si="5"/>
        <v>TEK 69</v>
      </c>
      <c r="O144" s="179" t="str">
        <f t="shared" si="5"/>
        <v>TEK 69</v>
      </c>
      <c r="P144" s="179" t="str">
        <f t="shared" si="5"/>
        <v>TEK 69</v>
      </c>
    </row>
    <row r="145" spans="1:16" x14ac:dyDescent="0.2">
      <c r="A145" s="202" t="s">
        <v>300</v>
      </c>
      <c r="C145" s="180" t="s">
        <v>251</v>
      </c>
      <c r="D145" s="181" t="s">
        <v>11</v>
      </c>
      <c r="E145" s="181" t="s">
        <v>1</v>
      </c>
      <c r="F145" s="182" t="s">
        <v>250</v>
      </c>
      <c r="G145" s="181" t="s">
        <v>97</v>
      </c>
      <c r="H145" s="181" t="s">
        <v>98</v>
      </c>
      <c r="I145" s="181" t="s">
        <v>99</v>
      </c>
      <c r="J145" s="181" t="s">
        <v>100</v>
      </c>
      <c r="K145" s="181" t="s">
        <v>101</v>
      </c>
      <c r="L145" s="181" t="s">
        <v>102</v>
      </c>
      <c r="M145" s="181" t="s">
        <v>103</v>
      </c>
      <c r="N145" s="181" t="s">
        <v>104</v>
      </c>
      <c r="O145" s="181" t="s">
        <v>105</v>
      </c>
      <c r="P145" s="181" t="s">
        <v>106</v>
      </c>
    </row>
    <row r="147" spans="1:16" x14ac:dyDescent="0.2">
      <c r="A147" s="201" t="s">
        <v>12</v>
      </c>
      <c r="C147" s="136">
        <v>0.2</v>
      </c>
      <c r="D147" s="134">
        <v>0.2</v>
      </c>
      <c r="E147" s="134">
        <v>0.2</v>
      </c>
      <c r="F147" s="136">
        <v>0.2</v>
      </c>
      <c r="G147" s="134">
        <v>0.2</v>
      </c>
      <c r="H147" s="134">
        <v>0.2</v>
      </c>
      <c r="I147" s="134">
        <v>0.2</v>
      </c>
      <c r="J147" s="134">
        <v>0.2</v>
      </c>
      <c r="K147" s="134">
        <v>0.2</v>
      </c>
      <c r="L147" s="134">
        <v>0.2</v>
      </c>
      <c r="M147" s="134">
        <v>0.2</v>
      </c>
      <c r="N147" s="134">
        <v>0.2</v>
      </c>
      <c r="O147" s="134">
        <v>0.2</v>
      </c>
      <c r="P147" s="134">
        <v>0.2</v>
      </c>
    </row>
    <row r="148" spans="1:16" x14ac:dyDescent="0.2">
      <c r="A148" s="201" t="s">
        <v>252</v>
      </c>
      <c r="C148" s="137" t="s">
        <v>303</v>
      </c>
      <c r="D148" s="138">
        <v>0.4</v>
      </c>
      <c r="E148" s="138">
        <v>0.7</v>
      </c>
      <c r="F148" s="137" t="s">
        <v>303</v>
      </c>
      <c r="G148" s="138">
        <v>0.4</v>
      </c>
      <c r="H148" s="138">
        <v>0.7</v>
      </c>
      <c r="I148" s="138">
        <v>0.7</v>
      </c>
      <c r="J148" s="138">
        <v>0.7</v>
      </c>
      <c r="K148" s="138">
        <v>0.7</v>
      </c>
      <c r="L148" s="138">
        <v>0.4</v>
      </c>
      <c r="M148" s="138">
        <v>0.7</v>
      </c>
      <c r="N148" s="138">
        <v>0.7</v>
      </c>
      <c r="O148" s="138">
        <v>0.7</v>
      </c>
      <c r="P148" s="138">
        <v>0.7</v>
      </c>
    </row>
    <row r="149" spans="1:16" x14ac:dyDescent="0.2">
      <c r="A149" s="201" t="s">
        <v>256</v>
      </c>
      <c r="C149" s="197">
        <v>0.3</v>
      </c>
      <c r="D149" s="138">
        <v>0.3</v>
      </c>
      <c r="E149" s="138">
        <v>0.3</v>
      </c>
      <c r="F149" s="197">
        <v>0.3</v>
      </c>
      <c r="G149" s="138">
        <v>0.3</v>
      </c>
      <c r="H149" s="138">
        <v>0.3</v>
      </c>
      <c r="I149" s="138">
        <v>0.3</v>
      </c>
      <c r="J149" s="138">
        <v>0.3</v>
      </c>
      <c r="K149" s="138">
        <v>0.3</v>
      </c>
      <c r="L149" s="138">
        <v>0.3</v>
      </c>
      <c r="M149" s="138">
        <v>0.3</v>
      </c>
      <c r="N149" s="138">
        <v>0.3</v>
      </c>
      <c r="O149" s="138">
        <v>0.3</v>
      </c>
      <c r="P149" s="138">
        <v>0.3</v>
      </c>
    </row>
    <row r="150" spans="1:16" x14ac:dyDescent="0.2">
      <c r="A150" s="201" t="s">
        <v>262</v>
      </c>
      <c r="C150" s="137" t="s">
        <v>355</v>
      </c>
      <c r="D150" s="138">
        <v>0.3</v>
      </c>
      <c r="E150" s="138">
        <v>0.35</v>
      </c>
      <c r="F150" s="137" t="s">
        <v>354</v>
      </c>
      <c r="G150" s="138">
        <v>0.3</v>
      </c>
      <c r="H150" s="138">
        <v>0.35</v>
      </c>
      <c r="I150" s="138">
        <v>0.35</v>
      </c>
      <c r="J150" s="138">
        <v>0.35</v>
      </c>
      <c r="K150" s="138">
        <v>0.35</v>
      </c>
      <c r="L150" s="138">
        <v>0.3</v>
      </c>
      <c r="M150" s="138">
        <v>0.35</v>
      </c>
      <c r="N150" s="138">
        <v>0.57999999999999996</v>
      </c>
      <c r="O150" s="138">
        <v>0.35</v>
      </c>
      <c r="P150" s="138">
        <v>0.35</v>
      </c>
    </row>
    <row r="151" spans="1:16" x14ac:dyDescent="0.2">
      <c r="A151" s="201" t="s">
        <v>265</v>
      </c>
      <c r="C151" s="198">
        <v>2.8</v>
      </c>
      <c r="D151" s="140">
        <v>2.8</v>
      </c>
      <c r="E151" s="140">
        <v>2.8</v>
      </c>
      <c r="F151" s="198">
        <v>2.8</v>
      </c>
      <c r="G151" s="140">
        <v>2.8</v>
      </c>
      <c r="H151" s="140">
        <v>2.8</v>
      </c>
      <c r="I151" s="140">
        <v>2.8</v>
      </c>
      <c r="J151" s="140">
        <v>2.8</v>
      </c>
      <c r="K151" s="140">
        <v>2.8</v>
      </c>
      <c r="L151" s="140">
        <v>2.8</v>
      </c>
      <c r="M151" s="140">
        <v>2.8</v>
      </c>
      <c r="N151" s="140">
        <v>2.8</v>
      </c>
      <c r="O151" s="140">
        <v>2.8</v>
      </c>
      <c r="P151" s="138">
        <v>2.8</v>
      </c>
    </row>
    <row r="152" spans="1:16" x14ac:dyDescent="0.2">
      <c r="A152" s="201" t="s">
        <v>267</v>
      </c>
      <c r="C152" s="143" t="s">
        <v>269</v>
      </c>
      <c r="D152" s="155">
        <v>0.05</v>
      </c>
      <c r="E152" s="156">
        <v>0.12</v>
      </c>
      <c r="F152" s="143" t="s">
        <v>270</v>
      </c>
      <c r="G152" s="156">
        <v>0.05</v>
      </c>
      <c r="H152" s="156">
        <v>0.12</v>
      </c>
      <c r="I152" s="156">
        <v>0.12</v>
      </c>
      <c r="J152" s="156">
        <v>0.12</v>
      </c>
      <c r="K152" s="156">
        <v>0.12</v>
      </c>
      <c r="L152" s="156">
        <v>0.05</v>
      </c>
      <c r="M152" s="156">
        <v>0.12</v>
      </c>
      <c r="N152" s="156">
        <v>0.12</v>
      </c>
      <c r="O152" s="156">
        <v>0.12</v>
      </c>
      <c r="P152" s="156">
        <v>0.12</v>
      </c>
    </row>
    <row r="153" spans="1:16" x14ac:dyDescent="0.2">
      <c r="A153" s="201" t="s">
        <v>13</v>
      </c>
      <c r="C153" s="143" t="s">
        <v>361</v>
      </c>
      <c r="D153" s="21">
        <v>5</v>
      </c>
      <c r="E153" s="21">
        <v>2.5</v>
      </c>
      <c r="F153" s="143" t="s">
        <v>276</v>
      </c>
      <c r="G153" s="168">
        <v>3</v>
      </c>
      <c r="H153" s="168">
        <v>2.5</v>
      </c>
      <c r="I153" s="168">
        <v>3</v>
      </c>
      <c r="J153" s="168">
        <v>2.5</v>
      </c>
      <c r="K153" s="168">
        <v>2.5</v>
      </c>
      <c r="L153" s="168">
        <v>3</v>
      </c>
      <c r="M153" s="168">
        <v>3</v>
      </c>
      <c r="N153" s="168">
        <v>3</v>
      </c>
      <c r="O153" s="168">
        <v>2.5</v>
      </c>
      <c r="P153" s="168">
        <v>3</v>
      </c>
    </row>
    <row r="154" spans="1:16" x14ac:dyDescent="0.2">
      <c r="A154" s="201" t="s">
        <v>278</v>
      </c>
      <c r="C154" s="145" t="s">
        <v>413</v>
      </c>
      <c r="D154" s="341" t="s">
        <v>395</v>
      </c>
      <c r="E154" s="342" t="s">
        <v>396</v>
      </c>
      <c r="F154" s="148" t="s">
        <v>413</v>
      </c>
      <c r="G154" s="169" t="s">
        <v>392</v>
      </c>
      <c r="H154" s="169" t="s">
        <v>411</v>
      </c>
      <c r="I154" s="169" t="s">
        <v>392</v>
      </c>
      <c r="J154" s="169" t="s">
        <v>392</v>
      </c>
      <c r="K154" s="169" t="s">
        <v>564</v>
      </c>
      <c r="L154" s="169" t="s">
        <v>565</v>
      </c>
      <c r="M154" s="169" t="s">
        <v>411</v>
      </c>
      <c r="N154" s="169" t="s">
        <v>393</v>
      </c>
      <c r="O154" s="169" t="s">
        <v>411</v>
      </c>
      <c r="P154" s="169" t="s">
        <v>411</v>
      </c>
    </row>
    <row r="155" spans="1:16" x14ac:dyDescent="0.2">
      <c r="A155" s="201" t="s">
        <v>14</v>
      </c>
      <c r="C155" s="146">
        <v>0</v>
      </c>
      <c r="D155" s="134">
        <v>0</v>
      </c>
      <c r="E155" s="170">
        <v>0</v>
      </c>
      <c r="F155" s="221">
        <v>0</v>
      </c>
      <c r="G155" s="134">
        <v>0</v>
      </c>
      <c r="H155" s="134">
        <v>0</v>
      </c>
      <c r="I155" s="134">
        <v>0</v>
      </c>
      <c r="J155" s="134">
        <v>0</v>
      </c>
      <c r="K155" s="134">
        <v>0</v>
      </c>
      <c r="L155" s="134">
        <v>0</v>
      </c>
      <c r="M155" s="134">
        <v>0</v>
      </c>
      <c r="N155" s="134">
        <v>0</v>
      </c>
      <c r="O155" s="134">
        <v>0</v>
      </c>
      <c r="P155" s="134">
        <v>0</v>
      </c>
    </row>
    <row r="156" spans="1:16" ht="14.25" x14ac:dyDescent="0.2">
      <c r="A156" s="201" t="s">
        <v>353</v>
      </c>
      <c r="C156" s="145" t="s">
        <v>282</v>
      </c>
      <c r="D156" s="144" t="s">
        <v>282</v>
      </c>
      <c r="E156" s="144" t="s">
        <v>282</v>
      </c>
      <c r="F156" s="222" t="s">
        <v>16</v>
      </c>
      <c r="G156" s="199" t="s">
        <v>16</v>
      </c>
      <c r="H156" s="199" t="s">
        <v>16</v>
      </c>
      <c r="I156" s="199" t="s">
        <v>16</v>
      </c>
      <c r="J156" s="199" t="s">
        <v>16</v>
      </c>
      <c r="K156" s="199" t="s">
        <v>16</v>
      </c>
      <c r="L156" s="199" t="s">
        <v>16</v>
      </c>
      <c r="M156" s="199" t="s">
        <v>16</v>
      </c>
      <c r="N156" s="199" t="s">
        <v>16</v>
      </c>
      <c r="O156" s="199" t="s">
        <v>16</v>
      </c>
      <c r="P156" s="199" t="s">
        <v>16</v>
      </c>
    </row>
    <row r="157" spans="1:16" x14ac:dyDescent="0.2">
      <c r="A157" s="201" t="s">
        <v>283</v>
      </c>
      <c r="C157" s="145" t="s">
        <v>282</v>
      </c>
      <c r="D157" s="144" t="s">
        <v>282</v>
      </c>
      <c r="E157" s="144" t="s">
        <v>282</v>
      </c>
      <c r="F157" s="147">
        <v>2</v>
      </c>
      <c r="G157" s="142">
        <v>2</v>
      </c>
      <c r="H157" s="142">
        <v>2</v>
      </c>
      <c r="I157" s="142">
        <v>2</v>
      </c>
      <c r="J157" s="142">
        <v>2</v>
      </c>
      <c r="K157" s="142">
        <v>2</v>
      </c>
      <c r="L157" s="142">
        <v>2</v>
      </c>
      <c r="M157" s="142">
        <v>2</v>
      </c>
      <c r="N157" s="142">
        <v>2</v>
      </c>
      <c r="O157" s="142">
        <v>2</v>
      </c>
      <c r="P157" s="142">
        <v>2</v>
      </c>
    </row>
    <row r="158" spans="1:16" x14ac:dyDescent="0.2">
      <c r="A158" s="201" t="s">
        <v>284</v>
      </c>
      <c r="C158" s="147" t="s">
        <v>17</v>
      </c>
      <c r="D158" s="142" t="s">
        <v>17</v>
      </c>
      <c r="E158" s="142" t="s">
        <v>17</v>
      </c>
      <c r="F158" s="147" t="s">
        <v>17</v>
      </c>
      <c r="G158" s="142" t="s">
        <v>17</v>
      </c>
      <c r="H158" s="142" t="s">
        <v>17</v>
      </c>
      <c r="I158" s="142" t="s">
        <v>17</v>
      </c>
      <c r="J158" s="142" t="s">
        <v>17</v>
      </c>
      <c r="K158" s="142" t="s">
        <v>17</v>
      </c>
      <c r="L158" s="142" t="s">
        <v>17</v>
      </c>
      <c r="M158" s="142" t="s">
        <v>17</v>
      </c>
      <c r="N158" s="142" t="s">
        <v>17</v>
      </c>
      <c r="O158" s="142" t="s">
        <v>17</v>
      </c>
      <c r="P158" s="142" t="s">
        <v>17</v>
      </c>
    </row>
    <row r="159" spans="1:16" x14ac:dyDescent="0.2">
      <c r="A159" s="201" t="s">
        <v>18</v>
      </c>
      <c r="C159" s="145" t="s">
        <v>286</v>
      </c>
      <c r="D159" s="144" t="s">
        <v>286</v>
      </c>
      <c r="E159" s="144" t="s">
        <v>286</v>
      </c>
      <c r="F159" s="147" t="s">
        <v>419</v>
      </c>
      <c r="G159" s="142" t="s">
        <v>419</v>
      </c>
      <c r="H159" s="142" t="s">
        <v>419</v>
      </c>
      <c r="I159" s="142" t="s">
        <v>419</v>
      </c>
      <c r="J159" s="142" t="s">
        <v>419</v>
      </c>
      <c r="K159" s="142" t="s">
        <v>419</v>
      </c>
      <c r="L159" s="142" t="s">
        <v>419</v>
      </c>
      <c r="M159" s="142" t="s">
        <v>419</v>
      </c>
      <c r="N159" s="142" t="s">
        <v>419</v>
      </c>
      <c r="O159" s="142" t="s">
        <v>419</v>
      </c>
      <c r="P159" s="142" t="s">
        <v>419</v>
      </c>
    </row>
    <row r="160" spans="1:16" x14ac:dyDescent="0.2">
      <c r="A160" s="201" t="s">
        <v>287</v>
      </c>
      <c r="C160" s="145" t="s">
        <v>286</v>
      </c>
      <c r="D160" s="142">
        <v>0</v>
      </c>
      <c r="E160" s="142">
        <v>0</v>
      </c>
      <c r="F160" s="200" t="s">
        <v>288</v>
      </c>
      <c r="G160" s="168">
        <v>0</v>
      </c>
      <c r="H160" s="168">
        <v>60</v>
      </c>
      <c r="I160" s="168">
        <v>0</v>
      </c>
      <c r="J160" s="168">
        <v>70</v>
      </c>
      <c r="K160" s="168">
        <v>90</v>
      </c>
      <c r="L160" s="21">
        <v>0</v>
      </c>
      <c r="M160" s="168">
        <v>125</v>
      </c>
      <c r="N160" s="21">
        <v>0</v>
      </c>
      <c r="O160" s="171">
        <v>100</v>
      </c>
      <c r="P160" s="172">
        <v>70</v>
      </c>
    </row>
    <row r="161" spans="1:16" x14ac:dyDescent="0.2">
      <c r="A161" s="201" t="s">
        <v>289</v>
      </c>
      <c r="C161" s="145" t="s">
        <v>410</v>
      </c>
      <c r="D161" s="142">
        <v>1.95</v>
      </c>
      <c r="E161" s="142">
        <v>1.95</v>
      </c>
      <c r="F161" s="223" t="s">
        <v>547</v>
      </c>
      <c r="G161" s="177">
        <f>8*12/8</f>
        <v>12</v>
      </c>
      <c r="H161" s="177">
        <f>8*12/8</f>
        <v>12</v>
      </c>
      <c r="I161" s="177">
        <f>10*12/8</f>
        <v>15</v>
      </c>
      <c r="J161" s="178">
        <f>8*12/8</f>
        <v>12</v>
      </c>
      <c r="K161" s="178">
        <f>8*12/8</f>
        <v>12</v>
      </c>
      <c r="L161" s="178">
        <f>8*12/8</f>
        <v>12</v>
      </c>
      <c r="M161" s="178">
        <f>8*12/8</f>
        <v>12</v>
      </c>
      <c r="N161" s="178">
        <f>8*12/8</f>
        <v>12</v>
      </c>
      <c r="O161" s="177">
        <f>15*12/8</f>
        <v>22.5</v>
      </c>
      <c r="P161" s="177">
        <f>8*12/8</f>
        <v>12</v>
      </c>
    </row>
    <row r="162" spans="1:16" x14ac:dyDescent="0.2">
      <c r="A162" s="201" t="s">
        <v>293</v>
      </c>
      <c r="C162" s="145" t="s">
        <v>410</v>
      </c>
      <c r="D162" s="142">
        <v>3</v>
      </c>
      <c r="E162" s="142">
        <v>3</v>
      </c>
      <c r="F162" s="145" t="s">
        <v>410</v>
      </c>
      <c r="G162" s="142">
        <v>2</v>
      </c>
      <c r="H162" s="142">
        <v>11</v>
      </c>
      <c r="I162" s="21">
        <v>6</v>
      </c>
      <c r="J162" s="142">
        <v>11</v>
      </c>
      <c r="K162" s="142">
        <v>8</v>
      </c>
      <c r="L162" s="142">
        <v>4</v>
      </c>
      <c r="M162" s="142">
        <v>1</v>
      </c>
      <c r="N162" s="142">
        <v>1</v>
      </c>
      <c r="O162" s="142">
        <v>1</v>
      </c>
      <c r="P162" s="142">
        <v>1</v>
      </c>
    </row>
    <row r="163" spans="1:16" x14ac:dyDescent="0.2">
      <c r="A163" s="201" t="s">
        <v>295</v>
      </c>
      <c r="C163" s="145" t="s">
        <v>410</v>
      </c>
      <c r="D163" s="142">
        <v>5.0999999999999996</v>
      </c>
      <c r="E163" s="142">
        <v>5.0999999999999996</v>
      </c>
      <c r="F163" s="145" t="s">
        <v>410</v>
      </c>
      <c r="G163" s="21">
        <v>3.8</v>
      </c>
      <c r="H163" s="142">
        <v>1.6</v>
      </c>
      <c r="I163" s="142">
        <v>4.5</v>
      </c>
      <c r="J163" s="142">
        <v>1.6</v>
      </c>
      <c r="K163" s="142">
        <v>5.0999999999999996</v>
      </c>
      <c r="L163" s="142">
        <v>5.0999999999999996</v>
      </c>
      <c r="M163" s="142">
        <v>5.0999999999999996</v>
      </c>
      <c r="N163" s="142">
        <v>18.899999999999999</v>
      </c>
      <c r="O163" s="142">
        <v>2.7</v>
      </c>
      <c r="P163" s="142">
        <v>3.5</v>
      </c>
    </row>
    <row r="164" spans="1:16" x14ac:dyDescent="0.2">
      <c r="A164" s="201" t="s">
        <v>296</v>
      </c>
      <c r="C164" s="145" t="s">
        <v>414</v>
      </c>
      <c r="D164" s="142">
        <v>1.5</v>
      </c>
      <c r="E164" s="142">
        <v>1.5</v>
      </c>
      <c r="F164" s="145" t="s">
        <v>414</v>
      </c>
      <c r="G164" s="21">
        <v>6</v>
      </c>
      <c r="H164" s="142">
        <v>4</v>
      </c>
      <c r="I164" s="21">
        <v>12</v>
      </c>
      <c r="J164" s="21">
        <v>6</v>
      </c>
      <c r="K164" s="21">
        <v>2</v>
      </c>
      <c r="L164" s="21">
        <v>3</v>
      </c>
      <c r="M164" s="21">
        <v>2</v>
      </c>
      <c r="N164" s="21">
        <v>10</v>
      </c>
      <c r="O164" s="142">
        <v>10</v>
      </c>
      <c r="P164" s="142">
        <v>3.2</v>
      </c>
    </row>
    <row r="165" spans="1:16" x14ac:dyDescent="0.2">
      <c r="A165" s="21" t="s">
        <v>19</v>
      </c>
      <c r="B165" s="204"/>
      <c r="C165" s="143"/>
      <c r="D165" s="142">
        <v>0.75</v>
      </c>
      <c r="E165" s="142">
        <v>0.75</v>
      </c>
      <c r="F165" s="148">
        <v>0.75</v>
      </c>
      <c r="G165" s="142">
        <v>0.75</v>
      </c>
      <c r="H165" s="142">
        <v>0.75</v>
      </c>
      <c r="I165" s="142">
        <v>0.75</v>
      </c>
      <c r="J165" s="142">
        <v>0.75</v>
      </c>
      <c r="K165" s="142">
        <v>0.75</v>
      </c>
      <c r="L165" s="142">
        <v>0.75</v>
      </c>
      <c r="M165" s="142">
        <v>0.75</v>
      </c>
      <c r="N165" s="142">
        <v>0.75</v>
      </c>
      <c r="O165" s="142">
        <v>0.75</v>
      </c>
      <c r="P165" s="142">
        <v>0.75</v>
      </c>
    </row>
    <row r="166" spans="1:16" x14ac:dyDescent="0.2">
      <c r="A166" s="21" t="s">
        <v>20</v>
      </c>
      <c r="B166" s="204"/>
      <c r="C166" s="144"/>
      <c r="D166" s="59" t="s">
        <v>15</v>
      </c>
      <c r="E166" s="59" t="s">
        <v>15</v>
      </c>
      <c r="F166" s="147">
        <v>0.15</v>
      </c>
      <c r="G166" s="59" t="s">
        <v>15</v>
      </c>
      <c r="H166" s="142">
        <v>0.15</v>
      </c>
      <c r="I166" s="142">
        <v>0.15</v>
      </c>
      <c r="J166" s="142">
        <v>0.15</v>
      </c>
      <c r="K166" s="142">
        <v>0.15</v>
      </c>
      <c r="L166" s="142">
        <v>0.15</v>
      </c>
      <c r="M166" s="142">
        <v>0.15</v>
      </c>
      <c r="N166" s="142">
        <v>0.15</v>
      </c>
      <c r="O166" s="142">
        <v>0.15</v>
      </c>
      <c r="P166" s="142">
        <v>0.15</v>
      </c>
    </row>
    <row r="167" spans="1:16" x14ac:dyDescent="0.2">
      <c r="A167" s="21" t="s">
        <v>21</v>
      </c>
      <c r="B167" s="204"/>
      <c r="C167" s="144"/>
      <c r="D167" s="59" t="s">
        <v>15</v>
      </c>
      <c r="E167" s="59" t="s">
        <v>15</v>
      </c>
      <c r="F167" s="147" t="s">
        <v>17</v>
      </c>
      <c r="G167" s="59" t="s">
        <v>15</v>
      </c>
      <c r="H167" s="142" t="s">
        <v>17</v>
      </c>
      <c r="I167" s="142" t="s">
        <v>17</v>
      </c>
      <c r="J167" s="142" t="s">
        <v>17</v>
      </c>
      <c r="K167" s="142" t="s">
        <v>17</v>
      </c>
      <c r="L167" s="142" t="s">
        <v>17</v>
      </c>
      <c r="M167" s="142" t="s">
        <v>17</v>
      </c>
      <c r="N167" s="142" t="s">
        <v>17</v>
      </c>
      <c r="O167" s="142" t="s">
        <v>17</v>
      </c>
      <c r="P167" s="142" t="s">
        <v>17</v>
      </c>
    </row>
    <row r="168" spans="1:16" x14ac:dyDescent="0.2">
      <c r="A168" s="157"/>
      <c r="C168" s="204"/>
      <c r="D168" s="204"/>
      <c r="E168" s="204"/>
      <c r="F168" s="206"/>
      <c r="G168" s="224"/>
      <c r="H168" s="206"/>
      <c r="I168" s="224"/>
      <c r="J168" s="206"/>
      <c r="K168" s="224"/>
      <c r="L168" s="206"/>
      <c r="M168" s="224"/>
      <c r="N168" s="206"/>
      <c r="O168" s="224"/>
    </row>
    <row r="169" spans="1:16" x14ac:dyDescent="0.2">
      <c r="A169" s="157"/>
      <c r="C169" s="204"/>
      <c r="D169" s="204"/>
      <c r="E169" s="204"/>
      <c r="F169" s="206"/>
      <c r="G169" s="224"/>
      <c r="H169" s="206"/>
      <c r="I169" s="224"/>
      <c r="J169" s="206"/>
      <c r="K169" s="224"/>
      <c r="L169" s="206"/>
      <c r="M169" s="224"/>
      <c r="N169" s="206"/>
      <c r="O169" s="224"/>
    </row>
    <row r="170" spans="1:16" x14ac:dyDescent="0.2">
      <c r="A170" s="202" t="s">
        <v>248</v>
      </c>
      <c r="C170" s="128" t="s">
        <v>248</v>
      </c>
      <c r="D170" s="183" t="str">
        <f t="shared" ref="D170:E170" si="6">C170</f>
        <v>TEK 49</v>
      </c>
      <c r="E170" s="183" t="str">
        <f t="shared" si="6"/>
        <v>TEK 49</v>
      </c>
      <c r="F170" s="128" t="s">
        <v>248</v>
      </c>
      <c r="G170" s="183" t="str">
        <f t="shared" ref="G170:P170" si="7">F170</f>
        <v>TEK 49</v>
      </c>
      <c r="H170" s="183" t="str">
        <f t="shared" si="7"/>
        <v>TEK 49</v>
      </c>
      <c r="I170" s="183" t="str">
        <f t="shared" si="7"/>
        <v>TEK 49</v>
      </c>
      <c r="J170" s="183" t="str">
        <f t="shared" si="7"/>
        <v>TEK 49</v>
      </c>
      <c r="K170" s="183" t="str">
        <f t="shared" si="7"/>
        <v>TEK 49</v>
      </c>
      <c r="L170" s="183" t="str">
        <f t="shared" si="7"/>
        <v>TEK 49</v>
      </c>
      <c r="M170" s="183" t="str">
        <f t="shared" si="7"/>
        <v>TEK 49</v>
      </c>
      <c r="N170" s="183" t="str">
        <f t="shared" si="7"/>
        <v>TEK 49</v>
      </c>
      <c r="O170" s="183" t="str">
        <f t="shared" si="7"/>
        <v>TEK 49</v>
      </c>
      <c r="P170" s="183" t="str">
        <f t="shared" si="7"/>
        <v>TEK 49</v>
      </c>
    </row>
    <row r="171" spans="1:16" x14ac:dyDescent="0.2">
      <c r="A171" s="202" t="s">
        <v>300</v>
      </c>
      <c r="C171" s="184" t="s">
        <v>251</v>
      </c>
      <c r="D171" s="185" t="s">
        <v>11</v>
      </c>
      <c r="E171" s="185" t="s">
        <v>1</v>
      </c>
      <c r="F171" s="128" t="s">
        <v>250</v>
      </c>
      <c r="G171" s="185" t="s">
        <v>97</v>
      </c>
      <c r="H171" s="185" t="s">
        <v>98</v>
      </c>
      <c r="I171" s="185" t="s">
        <v>99</v>
      </c>
      <c r="J171" s="185" t="s">
        <v>100</v>
      </c>
      <c r="K171" s="185" t="s">
        <v>101</v>
      </c>
      <c r="L171" s="185" t="s">
        <v>102</v>
      </c>
      <c r="M171" s="185" t="s">
        <v>103</v>
      </c>
      <c r="N171" s="185" t="s">
        <v>104</v>
      </c>
      <c r="O171" s="185" t="s">
        <v>105</v>
      </c>
      <c r="P171" s="185" t="s">
        <v>106</v>
      </c>
    </row>
    <row r="173" spans="1:16" x14ac:dyDescent="0.2">
      <c r="A173" s="201" t="s">
        <v>12</v>
      </c>
      <c r="C173" s="136">
        <v>0.2</v>
      </c>
      <c r="D173" s="134">
        <v>0.2</v>
      </c>
      <c r="E173" s="134">
        <v>0.2</v>
      </c>
      <c r="F173" s="136">
        <v>0.2</v>
      </c>
      <c r="G173" s="134">
        <v>0.2</v>
      </c>
      <c r="H173" s="134">
        <v>0.2</v>
      </c>
      <c r="I173" s="134">
        <v>0.2</v>
      </c>
      <c r="J173" s="134">
        <v>0.2</v>
      </c>
      <c r="K173" s="134">
        <v>0.2</v>
      </c>
      <c r="L173" s="134">
        <v>0.2</v>
      </c>
      <c r="M173" s="134">
        <v>0.2</v>
      </c>
      <c r="N173" s="134">
        <v>0.2</v>
      </c>
      <c r="O173" s="134">
        <v>0.2</v>
      </c>
      <c r="P173" s="134">
        <v>0.2</v>
      </c>
    </row>
    <row r="174" spans="1:16" x14ac:dyDescent="0.2">
      <c r="A174" s="201" t="s">
        <v>252</v>
      </c>
      <c r="C174" s="137" t="s">
        <v>255</v>
      </c>
      <c r="D174" s="138">
        <v>0.5</v>
      </c>
      <c r="E174" s="138">
        <v>0.96</v>
      </c>
      <c r="F174" s="212" t="s">
        <v>356</v>
      </c>
      <c r="G174" s="210">
        <v>0.5</v>
      </c>
      <c r="H174" s="210">
        <v>0.96</v>
      </c>
      <c r="I174" s="210">
        <v>0.96</v>
      </c>
      <c r="J174" s="210">
        <v>0.96</v>
      </c>
      <c r="K174" s="210">
        <v>0.96</v>
      </c>
      <c r="L174" s="210">
        <v>0.5</v>
      </c>
      <c r="M174" s="210">
        <v>0.96</v>
      </c>
      <c r="N174" s="210">
        <v>0.96</v>
      </c>
      <c r="O174" s="210">
        <v>0.96</v>
      </c>
      <c r="P174" s="210">
        <v>0.96</v>
      </c>
    </row>
    <row r="175" spans="1:16" x14ac:dyDescent="0.2">
      <c r="A175" s="201" t="s">
        <v>256</v>
      </c>
      <c r="C175" s="212" t="s">
        <v>259</v>
      </c>
      <c r="D175" s="210">
        <v>0.28000000000000003</v>
      </c>
      <c r="E175" s="210">
        <v>0.38</v>
      </c>
      <c r="F175" s="211">
        <v>0.6</v>
      </c>
      <c r="G175" s="210">
        <v>0.6</v>
      </c>
      <c r="H175" s="210">
        <v>0.6</v>
      </c>
      <c r="I175" s="210">
        <v>0.6</v>
      </c>
      <c r="J175" s="210">
        <v>0.6</v>
      </c>
      <c r="K175" s="210">
        <v>0.6</v>
      </c>
      <c r="L175" s="210">
        <v>0.6</v>
      </c>
      <c r="M175" s="210">
        <v>0.6</v>
      </c>
      <c r="N175" s="210">
        <v>0.6</v>
      </c>
      <c r="O175" s="210">
        <v>0.6</v>
      </c>
      <c r="P175" s="210">
        <v>0.6</v>
      </c>
    </row>
    <row r="176" spans="1:16" x14ac:dyDescent="0.2">
      <c r="A176" s="201" t="s">
        <v>262</v>
      </c>
      <c r="C176" s="211">
        <v>0.33</v>
      </c>
      <c r="D176" s="138">
        <v>0.33</v>
      </c>
      <c r="E176" s="138">
        <v>0.33</v>
      </c>
      <c r="F176" s="213">
        <v>0.81</v>
      </c>
      <c r="G176" s="210">
        <v>0.81</v>
      </c>
      <c r="H176" s="210">
        <v>0.81</v>
      </c>
      <c r="I176" s="210">
        <v>0.81</v>
      </c>
      <c r="J176" s="210">
        <v>0.81</v>
      </c>
      <c r="K176" s="210">
        <v>0.81</v>
      </c>
      <c r="L176" s="210">
        <v>0.81</v>
      </c>
      <c r="M176" s="210">
        <v>0.81</v>
      </c>
      <c r="N176" s="210">
        <v>0.81</v>
      </c>
      <c r="O176" s="210">
        <v>0.81</v>
      </c>
      <c r="P176" s="210">
        <v>0.81</v>
      </c>
    </row>
    <row r="177" spans="1:16" x14ac:dyDescent="0.2">
      <c r="A177" s="201" t="s">
        <v>265</v>
      </c>
      <c r="C177" s="215">
        <v>2.8</v>
      </c>
      <c r="D177" s="140">
        <v>2.8</v>
      </c>
      <c r="E177" s="140">
        <v>2.8</v>
      </c>
      <c r="F177" s="215">
        <v>2.8</v>
      </c>
      <c r="G177" s="140">
        <v>2.8</v>
      </c>
      <c r="H177" s="140">
        <v>2.8</v>
      </c>
      <c r="I177" s="140">
        <v>2.8</v>
      </c>
      <c r="J177" s="140">
        <v>2.8</v>
      </c>
      <c r="K177" s="140">
        <v>2.8</v>
      </c>
      <c r="L177" s="140">
        <v>2.8</v>
      </c>
      <c r="M177" s="140">
        <v>2.8</v>
      </c>
      <c r="N177" s="140">
        <v>2.8</v>
      </c>
      <c r="O177" s="140">
        <v>2.8</v>
      </c>
      <c r="P177" s="140">
        <v>2.8</v>
      </c>
    </row>
    <row r="178" spans="1:16" x14ac:dyDescent="0.2">
      <c r="A178" s="201" t="s">
        <v>267</v>
      </c>
      <c r="C178" s="143" t="s">
        <v>269</v>
      </c>
      <c r="D178" s="166">
        <v>0.05</v>
      </c>
      <c r="E178" s="167">
        <v>0.12</v>
      </c>
      <c r="F178" s="147" t="s">
        <v>271</v>
      </c>
      <c r="G178" s="156">
        <v>0.04</v>
      </c>
      <c r="H178" s="156">
        <v>0.08</v>
      </c>
      <c r="I178" s="156">
        <v>0.08</v>
      </c>
      <c r="J178" s="156">
        <v>0.08</v>
      </c>
      <c r="K178" s="156">
        <v>0.08</v>
      </c>
      <c r="L178" s="156">
        <v>0.08</v>
      </c>
      <c r="M178" s="156">
        <v>0.08</v>
      </c>
      <c r="N178" s="156">
        <v>0.08</v>
      </c>
      <c r="O178" s="156">
        <v>0.08</v>
      </c>
      <c r="P178" s="156">
        <v>0.08</v>
      </c>
    </row>
    <row r="179" spans="1:16" x14ac:dyDescent="0.2">
      <c r="A179" s="201" t="s">
        <v>13</v>
      </c>
      <c r="C179" s="143" t="s">
        <v>361</v>
      </c>
      <c r="D179" s="21">
        <v>5</v>
      </c>
      <c r="E179" s="21">
        <v>2.5</v>
      </c>
      <c r="F179" s="147" t="s">
        <v>276</v>
      </c>
      <c r="G179" s="168">
        <v>3</v>
      </c>
      <c r="H179" s="168">
        <v>2.5</v>
      </c>
      <c r="I179" s="168">
        <v>3</v>
      </c>
      <c r="J179" s="168">
        <v>2.5</v>
      </c>
      <c r="K179" s="168">
        <v>2.5</v>
      </c>
      <c r="L179" s="168">
        <v>3</v>
      </c>
      <c r="M179" s="168">
        <v>3</v>
      </c>
      <c r="N179" s="168">
        <v>3</v>
      </c>
      <c r="O179" s="168">
        <v>2.5</v>
      </c>
      <c r="P179" s="168">
        <v>3</v>
      </c>
    </row>
    <row r="180" spans="1:16" x14ac:dyDescent="0.2">
      <c r="A180" s="201" t="s">
        <v>278</v>
      </c>
      <c r="C180" s="145" t="s">
        <v>413</v>
      </c>
      <c r="D180" s="341" t="s">
        <v>395</v>
      </c>
      <c r="E180" s="342" t="s">
        <v>396</v>
      </c>
      <c r="F180" s="346" t="s">
        <v>568</v>
      </c>
      <c r="G180" s="347" t="s">
        <v>568</v>
      </c>
      <c r="H180" s="347" t="s">
        <v>568</v>
      </c>
      <c r="I180" s="347" t="s">
        <v>568</v>
      </c>
      <c r="J180" s="347" t="s">
        <v>568</v>
      </c>
      <c r="K180" s="347" t="s">
        <v>568</v>
      </c>
      <c r="L180" s="347" t="s">
        <v>568</v>
      </c>
      <c r="M180" s="347" t="s">
        <v>568</v>
      </c>
      <c r="N180" s="347" t="s">
        <v>568</v>
      </c>
      <c r="O180" s="347" t="s">
        <v>568</v>
      </c>
      <c r="P180" s="347" t="s">
        <v>568</v>
      </c>
    </row>
    <row r="181" spans="1:16" x14ac:dyDescent="0.2">
      <c r="A181" s="201" t="s">
        <v>14</v>
      </c>
      <c r="C181" s="146">
        <v>0</v>
      </c>
      <c r="D181" s="134">
        <v>0</v>
      </c>
      <c r="E181" s="170">
        <v>0</v>
      </c>
      <c r="F181" s="221">
        <v>0</v>
      </c>
      <c r="G181" s="134">
        <v>0</v>
      </c>
      <c r="H181" s="134">
        <v>0</v>
      </c>
      <c r="I181" s="134">
        <v>0</v>
      </c>
      <c r="J181" s="134">
        <v>0</v>
      </c>
      <c r="K181" s="134">
        <v>0</v>
      </c>
      <c r="L181" s="134">
        <v>0</v>
      </c>
      <c r="M181" s="134">
        <v>0</v>
      </c>
      <c r="N181" s="134">
        <v>0</v>
      </c>
      <c r="O181" s="134">
        <v>0</v>
      </c>
      <c r="P181" s="134">
        <v>0</v>
      </c>
    </row>
    <row r="182" spans="1:16" ht="14.25" x14ac:dyDescent="0.2">
      <c r="A182" s="201" t="s">
        <v>352</v>
      </c>
      <c r="C182" s="145" t="s">
        <v>282</v>
      </c>
      <c r="D182" s="144" t="s">
        <v>282</v>
      </c>
      <c r="E182" s="144" t="s">
        <v>282</v>
      </c>
      <c r="F182" s="145" t="s">
        <v>282</v>
      </c>
      <c r="G182" s="144" t="s">
        <v>282</v>
      </c>
      <c r="H182" s="144" t="s">
        <v>282</v>
      </c>
      <c r="I182" s="144" t="s">
        <v>282</v>
      </c>
      <c r="J182" s="144" t="s">
        <v>282</v>
      </c>
      <c r="K182" s="144" t="s">
        <v>282</v>
      </c>
      <c r="L182" s="144" t="s">
        <v>282</v>
      </c>
      <c r="M182" s="144" t="s">
        <v>282</v>
      </c>
      <c r="N182" s="144" t="s">
        <v>282</v>
      </c>
      <c r="O182" s="144" t="s">
        <v>282</v>
      </c>
      <c r="P182" s="144" t="s">
        <v>282</v>
      </c>
    </row>
    <row r="183" spans="1:16" x14ac:dyDescent="0.2">
      <c r="A183" s="201" t="s">
        <v>283</v>
      </c>
      <c r="C183" s="145" t="s">
        <v>282</v>
      </c>
      <c r="D183" s="144" t="s">
        <v>282</v>
      </c>
      <c r="E183" s="144" t="s">
        <v>282</v>
      </c>
      <c r="F183" s="145" t="s">
        <v>282</v>
      </c>
      <c r="G183" s="144" t="s">
        <v>282</v>
      </c>
      <c r="H183" s="144" t="s">
        <v>282</v>
      </c>
      <c r="I183" s="144" t="s">
        <v>282</v>
      </c>
      <c r="J183" s="144" t="s">
        <v>282</v>
      </c>
      <c r="K183" s="144" t="s">
        <v>282</v>
      </c>
      <c r="L183" s="144" t="s">
        <v>282</v>
      </c>
      <c r="M183" s="144" t="s">
        <v>282</v>
      </c>
      <c r="N183" s="144" t="s">
        <v>282</v>
      </c>
      <c r="O183" s="144" t="s">
        <v>282</v>
      </c>
      <c r="P183" s="144" t="s">
        <v>282</v>
      </c>
    </row>
    <row r="184" spans="1:16" x14ac:dyDescent="0.2">
      <c r="A184" s="201" t="s">
        <v>284</v>
      </c>
      <c r="C184" s="147" t="s">
        <v>17</v>
      </c>
      <c r="D184" s="142" t="s">
        <v>17</v>
      </c>
      <c r="E184" s="142" t="s">
        <v>17</v>
      </c>
      <c r="F184" s="147" t="s">
        <v>17</v>
      </c>
      <c r="G184" s="142" t="s">
        <v>17</v>
      </c>
      <c r="H184" s="142" t="s">
        <v>17</v>
      </c>
      <c r="I184" s="142" t="s">
        <v>17</v>
      </c>
      <c r="J184" s="142" t="s">
        <v>17</v>
      </c>
      <c r="K184" s="142" t="s">
        <v>17</v>
      </c>
      <c r="L184" s="142" t="s">
        <v>17</v>
      </c>
      <c r="M184" s="142" t="s">
        <v>17</v>
      </c>
      <c r="N184" s="142" t="s">
        <v>17</v>
      </c>
      <c r="O184" s="142" t="s">
        <v>17</v>
      </c>
      <c r="P184" s="142" t="s">
        <v>17</v>
      </c>
    </row>
    <row r="185" spans="1:16" x14ac:dyDescent="0.2">
      <c r="A185" s="201" t="s">
        <v>18</v>
      </c>
      <c r="C185" s="145" t="s">
        <v>286</v>
      </c>
      <c r="D185" s="144" t="s">
        <v>286</v>
      </c>
      <c r="E185" s="144" t="s">
        <v>286</v>
      </c>
      <c r="F185" s="147" t="s">
        <v>17</v>
      </c>
      <c r="G185" s="142" t="s">
        <v>17</v>
      </c>
      <c r="H185" s="142" t="s">
        <v>17</v>
      </c>
      <c r="I185" s="142" t="s">
        <v>17</v>
      </c>
      <c r="J185" s="142" t="s">
        <v>17</v>
      </c>
      <c r="K185" s="142" t="s">
        <v>17</v>
      </c>
      <c r="L185" s="142" t="s">
        <v>17</v>
      </c>
      <c r="M185" s="142" t="s">
        <v>17</v>
      </c>
      <c r="N185" s="142" t="s">
        <v>17</v>
      </c>
      <c r="O185" s="142" t="s">
        <v>17</v>
      </c>
      <c r="P185" s="142" t="s">
        <v>17</v>
      </c>
    </row>
    <row r="186" spans="1:16" x14ac:dyDescent="0.2">
      <c r="A186" s="201" t="s">
        <v>287</v>
      </c>
      <c r="C186" s="145" t="s">
        <v>286</v>
      </c>
      <c r="D186" s="142">
        <v>0</v>
      </c>
      <c r="E186" s="142">
        <v>0</v>
      </c>
      <c r="F186" s="200" t="s">
        <v>288</v>
      </c>
      <c r="G186" s="168">
        <v>0</v>
      </c>
      <c r="H186" s="168">
        <v>60</v>
      </c>
      <c r="I186" s="168">
        <v>0</v>
      </c>
      <c r="J186" s="168">
        <v>70</v>
      </c>
      <c r="K186" s="168">
        <v>90</v>
      </c>
      <c r="L186" s="21">
        <v>0</v>
      </c>
      <c r="M186" s="168">
        <v>125</v>
      </c>
      <c r="N186" s="21">
        <v>0</v>
      </c>
      <c r="O186" s="171">
        <v>100</v>
      </c>
      <c r="P186" s="172">
        <v>70</v>
      </c>
    </row>
    <row r="187" spans="1:16" x14ac:dyDescent="0.2">
      <c r="A187" s="201" t="s">
        <v>289</v>
      </c>
      <c r="C187" s="145" t="s">
        <v>410</v>
      </c>
      <c r="D187" s="142">
        <v>1.95</v>
      </c>
      <c r="E187" s="142">
        <v>1.95</v>
      </c>
      <c r="F187" s="223" t="s">
        <v>415</v>
      </c>
      <c r="G187" s="177">
        <f>8*15/8</f>
        <v>15</v>
      </c>
      <c r="H187" s="177">
        <f>8*15/8</f>
        <v>15</v>
      </c>
      <c r="I187" s="177">
        <f>10*15/8</f>
        <v>18.75</v>
      </c>
      <c r="J187" s="178">
        <f>8*15/8</f>
        <v>15</v>
      </c>
      <c r="K187" s="178">
        <f>8*15/8</f>
        <v>15</v>
      </c>
      <c r="L187" s="178">
        <f>8*15/8</f>
        <v>15</v>
      </c>
      <c r="M187" s="178">
        <f>8*15/8</f>
        <v>15</v>
      </c>
      <c r="N187" s="178">
        <f>8*15/8</f>
        <v>15</v>
      </c>
      <c r="O187" s="177">
        <f>15*15/8</f>
        <v>28.125</v>
      </c>
      <c r="P187" s="177">
        <f>8*15/8</f>
        <v>15</v>
      </c>
    </row>
    <row r="188" spans="1:16" x14ac:dyDescent="0.2">
      <c r="A188" s="201" t="s">
        <v>293</v>
      </c>
      <c r="C188" s="145" t="s">
        <v>410</v>
      </c>
      <c r="D188" s="142">
        <v>3</v>
      </c>
      <c r="E188" s="142">
        <v>3</v>
      </c>
      <c r="F188" s="145" t="s">
        <v>410</v>
      </c>
      <c r="G188" s="142">
        <v>2</v>
      </c>
      <c r="H188" s="142">
        <v>11</v>
      </c>
      <c r="I188" s="21">
        <v>6</v>
      </c>
      <c r="J188" s="142">
        <v>11</v>
      </c>
      <c r="K188" s="142">
        <v>8</v>
      </c>
      <c r="L188" s="142">
        <v>4</v>
      </c>
      <c r="M188" s="142">
        <v>1</v>
      </c>
      <c r="N188" s="142">
        <v>1</v>
      </c>
      <c r="O188" s="142">
        <v>1</v>
      </c>
      <c r="P188" s="142">
        <v>1</v>
      </c>
    </row>
    <row r="189" spans="1:16" x14ac:dyDescent="0.2">
      <c r="A189" s="201" t="s">
        <v>295</v>
      </c>
      <c r="C189" s="145" t="s">
        <v>410</v>
      </c>
      <c r="D189" s="142">
        <v>5.0999999999999996</v>
      </c>
      <c r="E189" s="142">
        <v>5.0999999999999996</v>
      </c>
      <c r="F189" s="145" t="s">
        <v>410</v>
      </c>
      <c r="G189" s="21">
        <v>3.8</v>
      </c>
      <c r="H189" s="142">
        <v>1.6</v>
      </c>
      <c r="I189" s="142">
        <v>4.5</v>
      </c>
      <c r="J189" s="142">
        <v>1.6</v>
      </c>
      <c r="K189" s="142">
        <v>5.0999999999999996</v>
      </c>
      <c r="L189" s="142">
        <v>5.0999999999999996</v>
      </c>
      <c r="M189" s="142">
        <v>5.0999999999999996</v>
      </c>
      <c r="N189" s="142">
        <v>18.899999999999999</v>
      </c>
      <c r="O189" s="142">
        <v>2.7</v>
      </c>
      <c r="P189" s="142">
        <v>3.5</v>
      </c>
    </row>
    <row r="190" spans="1:16" x14ac:dyDescent="0.2">
      <c r="A190" s="201" t="s">
        <v>296</v>
      </c>
      <c r="C190" s="145" t="s">
        <v>414</v>
      </c>
      <c r="D190" s="142">
        <v>1.5</v>
      </c>
      <c r="E190" s="142">
        <v>1.5</v>
      </c>
      <c r="F190" s="145" t="s">
        <v>414</v>
      </c>
      <c r="G190" s="21">
        <v>6</v>
      </c>
      <c r="H190" s="142">
        <v>4</v>
      </c>
      <c r="I190" s="21">
        <v>12</v>
      </c>
      <c r="J190" s="21">
        <v>6</v>
      </c>
      <c r="K190" s="21">
        <v>2</v>
      </c>
      <c r="L190" s="21">
        <v>3</v>
      </c>
      <c r="M190" s="21">
        <v>2</v>
      </c>
      <c r="N190" s="21">
        <v>10</v>
      </c>
      <c r="O190" s="142">
        <v>10</v>
      </c>
      <c r="P190" s="142">
        <v>3.2</v>
      </c>
    </row>
    <row r="191" spans="1:16" x14ac:dyDescent="0.2">
      <c r="A191" s="21" t="s">
        <v>19</v>
      </c>
      <c r="B191" s="204"/>
      <c r="C191" s="143"/>
      <c r="D191" s="142">
        <v>0.75</v>
      </c>
      <c r="E191" s="142">
        <v>0.75</v>
      </c>
      <c r="F191" s="148">
        <v>0.75</v>
      </c>
      <c r="G191" s="142">
        <v>0.75</v>
      </c>
      <c r="H191" s="142">
        <v>0.75</v>
      </c>
      <c r="I191" s="142">
        <v>0.75</v>
      </c>
      <c r="J191" s="142">
        <v>0.75</v>
      </c>
      <c r="K191" s="142">
        <v>0.75</v>
      </c>
      <c r="L191" s="142">
        <v>0.75</v>
      </c>
      <c r="M191" s="142">
        <v>0.75</v>
      </c>
      <c r="N191" s="142">
        <v>0.75</v>
      </c>
      <c r="O191" s="142">
        <v>0.75</v>
      </c>
      <c r="P191" s="142">
        <v>0.75</v>
      </c>
    </row>
    <row r="192" spans="1:16" x14ac:dyDescent="0.2">
      <c r="A192" s="21" t="s">
        <v>20</v>
      </c>
      <c r="B192" s="204"/>
      <c r="C192" s="144"/>
      <c r="D192" s="59" t="s">
        <v>15</v>
      </c>
      <c r="E192" s="59" t="s">
        <v>15</v>
      </c>
      <c r="F192" s="59" t="s">
        <v>15</v>
      </c>
      <c r="G192" s="59" t="s">
        <v>15</v>
      </c>
      <c r="H192" s="59" t="s">
        <v>15</v>
      </c>
      <c r="I192" s="59" t="s">
        <v>15</v>
      </c>
      <c r="J192" s="59" t="s">
        <v>15</v>
      </c>
      <c r="K192" s="59" t="s">
        <v>15</v>
      </c>
      <c r="L192" s="59" t="s">
        <v>15</v>
      </c>
      <c r="M192" s="59" t="s">
        <v>15</v>
      </c>
      <c r="N192" s="59" t="s">
        <v>15</v>
      </c>
      <c r="O192" s="59" t="s">
        <v>15</v>
      </c>
      <c r="P192" s="59" t="s">
        <v>15</v>
      </c>
    </row>
    <row r="193" spans="1:16" x14ac:dyDescent="0.2">
      <c r="A193" s="21" t="s">
        <v>21</v>
      </c>
      <c r="B193" s="204"/>
      <c r="C193" s="144"/>
      <c r="D193" s="59" t="s">
        <v>15</v>
      </c>
      <c r="E193" s="59" t="s">
        <v>15</v>
      </c>
      <c r="F193" s="59" t="s">
        <v>15</v>
      </c>
      <c r="G193" s="59" t="s">
        <v>15</v>
      </c>
      <c r="H193" s="59" t="s">
        <v>15</v>
      </c>
      <c r="I193" s="59" t="s">
        <v>15</v>
      </c>
      <c r="J193" s="59" t="s">
        <v>15</v>
      </c>
      <c r="K193" s="59" t="s">
        <v>15</v>
      </c>
      <c r="L193" s="59" t="s">
        <v>15</v>
      </c>
      <c r="M193" s="59" t="s">
        <v>15</v>
      </c>
      <c r="N193" s="59" t="s">
        <v>15</v>
      </c>
      <c r="O193" s="59" t="s">
        <v>15</v>
      </c>
      <c r="P193" s="59" t="s">
        <v>15</v>
      </c>
    </row>
    <row r="194" spans="1:16" x14ac:dyDescent="0.2">
      <c r="A194" s="157"/>
      <c r="C194" s="204"/>
      <c r="D194" s="204"/>
      <c r="E194" s="204"/>
      <c r="F194" s="206"/>
      <c r="G194" s="224"/>
      <c r="H194" s="206"/>
      <c r="I194" s="224"/>
      <c r="J194" s="206"/>
      <c r="K194" s="224"/>
      <c r="L194" s="206"/>
      <c r="M194" s="224"/>
      <c r="N194" s="206"/>
      <c r="O194" s="224"/>
    </row>
    <row r="195" spans="1:16" x14ac:dyDescent="0.2">
      <c r="A195" s="157"/>
      <c r="C195" s="204"/>
      <c r="D195" s="204"/>
      <c r="E195" s="204"/>
      <c r="F195" s="206"/>
      <c r="G195" s="224"/>
      <c r="H195" s="206"/>
      <c r="I195" s="224"/>
      <c r="J195" s="206"/>
      <c r="K195" s="224"/>
      <c r="L195" s="206"/>
      <c r="M195" s="224"/>
      <c r="N195" s="206"/>
      <c r="O195" s="224"/>
    </row>
    <row r="196" spans="1:16" x14ac:dyDescent="0.2">
      <c r="A196" s="202" t="s">
        <v>123</v>
      </c>
      <c r="C196" s="129" t="s">
        <v>123</v>
      </c>
      <c r="D196" s="186" t="str">
        <f t="shared" ref="D196:E196" si="8">C196</f>
        <v>Eldre</v>
      </c>
      <c r="E196" s="186" t="str">
        <f t="shared" si="8"/>
        <v>Eldre</v>
      </c>
      <c r="F196" s="129" t="s">
        <v>123</v>
      </c>
      <c r="G196" s="186" t="str">
        <f t="shared" ref="G196:P196" si="9">F196</f>
        <v>Eldre</v>
      </c>
      <c r="H196" s="186" t="str">
        <f t="shared" si="9"/>
        <v>Eldre</v>
      </c>
      <c r="I196" s="186" t="str">
        <f t="shared" si="9"/>
        <v>Eldre</v>
      </c>
      <c r="J196" s="186" t="str">
        <f t="shared" si="9"/>
        <v>Eldre</v>
      </c>
      <c r="K196" s="186" t="str">
        <f t="shared" si="9"/>
        <v>Eldre</v>
      </c>
      <c r="L196" s="186" t="str">
        <f t="shared" si="9"/>
        <v>Eldre</v>
      </c>
      <c r="M196" s="186" t="str">
        <f t="shared" si="9"/>
        <v>Eldre</v>
      </c>
      <c r="N196" s="186" t="str">
        <f t="shared" si="9"/>
        <v>Eldre</v>
      </c>
      <c r="O196" s="186" t="str">
        <f t="shared" si="9"/>
        <v>Eldre</v>
      </c>
      <c r="P196" s="186" t="str">
        <f t="shared" si="9"/>
        <v>Eldre</v>
      </c>
    </row>
    <row r="197" spans="1:16" x14ac:dyDescent="0.2">
      <c r="A197" s="202" t="s">
        <v>300</v>
      </c>
      <c r="C197" s="187" t="s">
        <v>251</v>
      </c>
      <c r="D197" s="188" t="s">
        <v>11</v>
      </c>
      <c r="E197" s="188" t="s">
        <v>1</v>
      </c>
      <c r="F197" s="129" t="s">
        <v>250</v>
      </c>
      <c r="G197" s="188" t="s">
        <v>97</v>
      </c>
      <c r="H197" s="188" t="s">
        <v>98</v>
      </c>
      <c r="I197" s="188" t="s">
        <v>99</v>
      </c>
      <c r="J197" s="188" t="s">
        <v>100</v>
      </c>
      <c r="K197" s="188" t="s">
        <v>101</v>
      </c>
      <c r="L197" s="188" t="s">
        <v>102</v>
      </c>
      <c r="M197" s="188" t="s">
        <v>103</v>
      </c>
      <c r="N197" s="188" t="s">
        <v>104</v>
      </c>
      <c r="O197" s="188" t="s">
        <v>105</v>
      </c>
      <c r="P197" s="188" t="s">
        <v>106</v>
      </c>
    </row>
    <row r="199" spans="1:16" x14ac:dyDescent="0.2">
      <c r="A199" s="201" t="s">
        <v>12</v>
      </c>
      <c r="C199" s="136">
        <v>0.2</v>
      </c>
      <c r="D199" s="134">
        <v>0.2</v>
      </c>
      <c r="E199" s="134">
        <v>0.2</v>
      </c>
      <c r="F199" s="136">
        <v>0.2</v>
      </c>
      <c r="G199" s="134">
        <v>0.2</v>
      </c>
      <c r="H199" s="134">
        <v>0.2</v>
      </c>
      <c r="I199" s="134">
        <v>0.2</v>
      </c>
      <c r="J199" s="134">
        <v>0.2</v>
      </c>
      <c r="K199" s="134">
        <v>0.2</v>
      </c>
      <c r="L199" s="134">
        <v>0.2</v>
      </c>
      <c r="M199" s="134">
        <v>0.2</v>
      </c>
      <c r="N199" s="134">
        <v>0.2</v>
      </c>
      <c r="O199" s="134">
        <v>0.2</v>
      </c>
      <c r="P199" s="134">
        <v>0.2</v>
      </c>
    </row>
    <row r="200" spans="1:16" x14ac:dyDescent="0.2">
      <c r="A200" s="201" t="s">
        <v>252</v>
      </c>
      <c r="C200" s="137" t="s">
        <v>357</v>
      </c>
      <c r="D200" s="138">
        <v>0.96</v>
      </c>
      <c r="E200" s="138">
        <v>1.3</v>
      </c>
      <c r="F200" s="137" t="s">
        <v>357</v>
      </c>
      <c r="G200" s="210">
        <v>0.96</v>
      </c>
      <c r="H200" s="138">
        <v>1.3</v>
      </c>
      <c r="I200" s="210">
        <v>1.3</v>
      </c>
      <c r="J200" s="138">
        <v>1.3</v>
      </c>
      <c r="K200" s="210">
        <v>1.3</v>
      </c>
      <c r="L200" s="138">
        <v>0.96</v>
      </c>
      <c r="M200" s="210">
        <v>1.3</v>
      </c>
      <c r="N200" s="138">
        <v>1.3</v>
      </c>
      <c r="O200" s="210">
        <v>1.3</v>
      </c>
      <c r="P200" s="138">
        <v>1.3</v>
      </c>
    </row>
    <row r="201" spans="1:16" x14ac:dyDescent="0.2">
      <c r="A201" s="201" t="s">
        <v>256</v>
      </c>
      <c r="C201" s="212" t="s">
        <v>260</v>
      </c>
      <c r="D201" s="210">
        <v>0.61</v>
      </c>
      <c r="E201" s="210">
        <v>0.55000000000000004</v>
      </c>
      <c r="F201" s="211">
        <v>0.6</v>
      </c>
      <c r="G201" s="210">
        <v>0.6</v>
      </c>
      <c r="H201" s="210">
        <v>0.6</v>
      </c>
      <c r="I201" s="210">
        <v>0.6</v>
      </c>
      <c r="J201" s="210">
        <v>0.6</v>
      </c>
      <c r="K201" s="210">
        <v>0.6</v>
      </c>
      <c r="L201" s="210">
        <v>0.6</v>
      </c>
      <c r="M201" s="210">
        <v>0.6</v>
      </c>
      <c r="N201" s="210">
        <v>0.6</v>
      </c>
      <c r="O201" s="210">
        <v>0.6</v>
      </c>
      <c r="P201" s="210">
        <v>0.6</v>
      </c>
    </row>
    <row r="202" spans="1:16" x14ac:dyDescent="0.2">
      <c r="A202" s="201" t="s">
        <v>262</v>
      </c>
      <c r="C202" s="211">
        <v>0.81</v>
      </c>
      <c r="D202" s="138">
        <v>0.81</v>
      </c>
      <c r="E202" s="138">
        <v>0.81</v>
      </c>
      <c r="F202" s="211">
        <v>1</v>
      </c>
      <c r="G202" s="210">
        <v>0.81</v>
      </c>
      <c r="H202" s="210">
        <v>1</v>
      </c>
      <c r="I202" s="210">
        <v>1</v>
      </c>
      <c r="J202" s="210">
        <v>1</v>
      </c>
      <c r="K202" s="210">
        <v>1</v>
      </c>
      <c r="L202" s="210">
        <v>0.81</v>
      </c>
      <c r="M202" s="210">
        <v>1</v>
      </c>
      <c r="N202" s="210">
        <v>1</v>
      </c>
      <c r="O202" s="210">
        <v>1</v>
      </c>
      <c r="P202" s="210">
        <v>1</v>
      </c>
    </row>
    <row r="203" spans="1:16" x14ac:dyDescent="0.2">
      <c r="A203" s="201" t="s">
        <v>265</v>
      </c>
      <c r="C203" s="215">
        <v>2.8</v>
      </c>
      <c r="D203" s="140">
        <v>2.8</v>
      </c>
      <c r="E203" s="140">
        <v>2.8</v>
      </c>
      <c r="F203" s="215">
        <v>2.8</v>
      </c>
      <c r="G203" s="140">
        <v>2.8</v>
      </c>
      <c r="H203" s="140">
        <v>2.8</v>
      </c>
      <c r="I203" s="140">
        <v>2.8</v>
      </c>
      <c r="J203" s="140">
        <v>2.8</v>
      </c>
      <c r="K203" s="140">
        <v>2.8</v>
      </c>
      <c r="L203" s="140">
        <v>2.8</v>
      </c>
      <c r="M203" s="140">
        <v>2.8</v>
      </c>
      <c r="N203" s="140">
        <v>2.8</v>
      </c>
      <c r="O203" s="140">
        <v>2.8</v>
      </c>
      <c r="P203" s="140">
        <v>2.8</v>
      </c>
    </row>
    <row r="204" spans="1:16" x14ac:dyDescent="0.2">
      <c r="A204" s="201" t="s">
        <v>267</v>
      </c>
      <c r="C204" s="143" t="s">
        <v>269</v>
      </c>
      <c r="D204" s="155">
        <v>0.05</v>
      </c>
      <c r="E204" s="156">
        <v>0.12</v>
      </c>
      <c r="F204" s="147" t="s">
        <v>272</v>
      </c>
      <c r="G204" s="156">
        <v>0.03</v>
      </c>
      <c r="H204" s="156">
        <v>0.06</v>
      </c>
      <c r="I204" s="156">
        <v>0.06</v>
      </c>
      <c r="J204" s="156">
        <v>0.06</v>
      </c>
      <c r="K204" s="156">
        <v>0.06</v>
      </c>
      <c r="L204" s="156">
        <v>0.03</v>
      </c>
      <c r="M204" s="156">
        <v>0.06</v>
      </c>
      <c r="N204" s="156">
        <v>0.06</v>
      </c>
      <c r="O204" s="156">
        <v>0.06</v>
      </c>
      <c r="P204" s="156">
        <v>0.06</v>
      </c>
    </row>
    <row r="205" spans="1:16" x14ac:dyDescent="0.2">
      <c r="A205" s="201" t="s">
        <v>13</v>
      </c>
      <c r="C205" s="143" t="s">
        <v>361</v>
      </c>
      <c r="D205" s="21">
        <v>5</v>
      </c>
      <c r="E205" s="21">
        <v>2.5</v>
      </c>
      <c r="F205" s="147" t="s">
        <v>276</v>
      </c>
      <c r="G205" s="168">
        <v>3</v>
      </c>
      <c r="H205" s="168">
        <v>2.5</v>
      </c>
      <c r="I205" s="168">
        <v>3</v>
      </c>
      <c r="J205" s="168">
        <v>2.5</v>
      </c>
      <c r="K205" s="168">
        <v>2.5</v>
      </c>
      <c r="L205" s="168">
        <v>3</v>
      </c>
      <c r="M205" s="168">
        <v>3</v>
      </c>
      <c r="N205" s="168">
        <v>3</v>
      </c>
      <c r="O205" s="168">
        <v>2.5</v>
      </c>
      <c r="P205" s="168">
        <v>3</v>
      </c>
    </row>
    <row r="206" spans="1:16" x14ac:dyDescent="0.2">
      <c r="A206" s="201" t="s">
        <v>278</v>
      </c>
      <c r="C206" s="145" t="s">
        <v>413</v>
      </c>
      <c r="D206" s="341" t="s">
        <v>395</v>
      </c>
      <c r="E206" s="342" t="s">
        <v>396</v>
      </c>
      <c r="F206" s="242" t="s">
        <v>568</v>
      </c>
      <c r="G206" s="347" t="s">
        <v>568</v>
      </c>
      <c r="H206" s="347" t="s">
        <v>568</v>
      </c>
      <c r="I206" s="347" t="s">
        <v>568</v>
      </c>
      <c r="J206" s="347" t="s">
        <v>568</v>
      </c>
      <c r="K206" s="347" t="s">
        <v>568</v>
      </c>
      <c r="L206" s="347" t="s">
        <v>568</v>
      </c>
      <c r="M206" s="347" t="s">
        <v>568</v>
      </c>
      <c r="N206" s="347" t="s">
        <v>568</v>
      </c>
      <c r="O206" s="347" t="s">
        <v>568</v>
      </c>
      <c r="P206" s="347" t="s">
        <v>568</v>
      </c>
    </row>
    <row r="207" spans="1:16" x14ac:dyDescent="0.2">
      <c r="A207" s="201" t="s">
        <v>14</v>
      </c>
      <c r="C207" s="146">
        <v>0</v>
      </c>
      <c r="D207" s="134">
        <v>0</v>
      </c>
      <c r="E207" s="170">
        <v>0</v>
      </c>
      <c r="F207" s="221">
        <v>0</v>
      </c>
      <c r="G207" s="134">
        <v>0</v>
      </c>
      <c r="H207" s="134">
        <v>0</v>
      </c>
      <c r="I207" s="134">
        <v>0</v>
      </c>
      <c r="J207" s="134">
        <v>0</v>
      </c>
      <c r="K207" s="134">
        <v>0</v>
      </c>
      <c r="L207" s="134">
        <v>0</v>
      </c>
      <c r="M207" s="134">
        <v>0</v>
      </c>
      <c r="N207" s="134">
        <v>0</v>
      </c>
      <c r="O207" s="134">
        <v>0</v>
      </c>
      <c r="P207" s="134">
        <v>0</v>
      </c>
    </row>
    <row r="208" spans="1:16" ht="14.25" x14ac:dyDescent="0.2">
      <c r="A208" s="201" t="s">
        <v>352</v>
      </c>
      <c r="C208" s="145" t="s">
        <v>282</v>
      </c>
      <c r="D208" s="144" t="s">
        <v>282</v>
      </c>
      <c r="E208" s="144" t="s">
        <v>282</v>
      </c>
      <c r="F208" s="145" t="s">
        <v>282</v>
      </c>
      <c r="G208" s="144" t="s">
        <v>282</v>
      </c>
      <c r="H208" s="144" t="s">
        <v>282</v>
      </c>
      <c r="I208" s="144" t="s">
        <v>282</v>
      </c>
      <c r="J208" s="144" t="s">
        <v>282</v>
      </c>
      <c r="K208" s="144" t="s">
        <v>282</v>
      </c>
      <c r="L208" s="144" t="s">
        <v>282</v>
      </c>
      <c r="M208" s="144" t="s">
        <v>282</v>
      </c>
      <c r="N208" s="144" t="s">
        <v>282</v>
      </c>
      <c r="O208" s="144" t="s">
        <v>282</v>
      </c>
      <c r="P208" s="144" t="s">
        <v>282</v>
      </c>
    </row>
    <row r="209" spans="1:17" x14ac:dyDescent="0.2">
      <c r="A209" s="201" t="s">
        <v>283</v>
      </c>
      <c r="C209" s="145" t="s">
        <v>282</v>
      </c>
      <c r="D209" s="144" t="s">
        <v>282</v>
      </c>
      <c r="E209" s="144" t="s">
        <v>282</v>
      </c>
      <c r="F209" s="145" t="s">
        <v>282</v>
      </c>
      <c r="G209" s="144" t="s">
        <v>282</v>
      </c>
      <c r="H209" s="144" t="s">
        <v>282</v>
      </c>
      <c r="I209" s="144" t="s">
        <v>282</v>
      </c>
      <c r="J209" s="144" t="s">
        <v>282</v>
      </c>
      <c r="K209" s="144" t="s">
        <v>282</v>
      </c>
      <c r="L209" s="144" t="s">
        <v>282</v>
      </c>
      <c r="M209" s="144" t="s">
        <v>282</v>
      </c>
      <c r="N209" s="144" t="s">
        <v>282</v>
      </c>
      <c r="O209" s="144" t="s">
        <v>282</v>
      </c>
      <c r="P209" s="144" t="s">
        <v>282</v>
      </c>
    </row>
    <row r="210" spans="1:17" x14ac:dyDescent="0.2">
      <c r="A210" s="201" t="s">
        <v>284</v>
      </c>
      <c r="C210" s="147" t="s">
        <v>17</v>
      </c>
      <c r="D210" s="142" t="s">
        <v>17</v>
      </c>
      <c r="E210" s="142" t="s">
        <v>17</v>
      </c>
      <c r="F210" s="147" t="s">
        <v>17</v>
      </c>
      <c r="G210" s="142" t="s">
        <v>17</v>
      </c>
      <c r="H210" s="142" t="s">
        <v>17</v>
      </c>
      <c r="I210" s="142" t="s">
        <v>17</v>
      </c>
      <c r="J210" s="142" t="s">
        <v>17</v>
      </c>
      <c r="K210" s="142" t="s">
        <v>17</v>
      </c>
      <c r="L210" s="142" t="s">
        <v>17</v>
      </c>
      <c r="M210" s="142" t="s">
        <v>17</v>
      </c>
      <c r="N210" s="142" t="s">
        <v>17</v>
      </c>
      <c r="O210" s="142" t="s">
        <v>17</v>
      </c>
      <c r="P210" s="142" t="s">
        <v>17</v>
      </c>
    </row>
    <row r="211" spans="1:17" x14ac:dyDescent="0.2">
      <c r="A211" s="201" t="s">
        <v>18</v>
      </c>
      <c r="C211" s="145" t="s">
        <v>286</v>
      </c>
      <c r="D211" s="144" t="s">
        <v>286</v>
      </c>
      <c r="E211" s="144" t="s">
        <v>286</v>
      </c>
      <c r="F211" s="147" t="s">
        <v>17</v>
      </c>
      <c r="G211" s="142" t="s">
        <v>17</v>
      </c>
      <c r="H211" s="142" t="s">
        <v>17</v>
      </c>
      <c r="I211" s="142" t="s">
        <v>17</v>
      </c>
      <c r="J211" s="142" t="s">
        <v>17</v>
      </c>
      <c r="K211" s="142" t="s">
        <v>17</v>
      </c>
      <c r="L211" s="142" t="s">
        <v>17</v>
      </c>
      <c r="M211" s="142" t="s">
        <v>17</v>
      </c>
      <c r="N211" s="142" t="s">
        <v>17</v>
      </c>
      <c r="O211" s="142" t="s">
        <v>17</v>
      </c>
      <c r="P211" s="142" t="s">
        <v>17</v>
      </c>
    </row>
    <row r="212" spans="1:17" x14ac:dyDescent="0.2">
      <c r="A212" s="201" t="s">
        <v>287</v>
      </c>
      <c r="C212" s="145" t="s">
        <v>286</v>
      </c>
      <c r="D212" s="142">
        <v>0</v>
      </c>
      <c r="E212" s="142">
        <v>0</v>
      </c>
      <c r="F212" s="200" t="s">
        <v>288</v>
      </c>
      <c r="G212" s="168">
        <v>0</v>
      </c>
      <c r="H212" s="168">
        <v>60</v>
      </c>
      <c r="I212" s="168">
        <v>0</v>
      </c>
      <c r="J212" s="168">
        <v>70</v>
      </c>
      <c r="K212" s="168">
        <v>90</v>
      </c>
      <c r="L212" s="21">
        <v>0</v>
      </c>
      <c r="M212" s="168">
        <v>125</v>
      </c>
      <c r="N212" s="21">
        <v>0</v>
      </c>
      <c r="O212" s="171">
        <v>100</v>
      </c>
      <c r="P212" s="172">
        <v>70</v>
      </c>
    </row>
    <row r="213" spans="1:17" x14ac:dyDescent="0.2">
      <c r="A213" s="201" t="s">
        <v>289</v>
      </c>
      <c r="C213" s="145" t="s">
        <v>410</v>
      </c>
      <c r="D213" s="142">
        <v>1.95</v>
      </c>
      <c r="E213" s="142">
        <v>1.95</v>
      </c>
      <c r="F213" s="223" t="s">
        <v>415</v>
      </c>
      <c r="G213" s="177">
        <f>8*15/8</f>
        <v>15</v>
      </c>
      <c r="H213" s="177">
        <f>8*15/8</f>
        <v>15</v>
      </c>
      <c r="I213" s="177">
        <f>10*15/8</f>
        <v>18.75</v>
      </c>
      <c r="J213" s="178">
        <f>8*15/8</f>
        <v>15</v>
      </c>
      <c r="K213" s="178">
        <f>8*15/8</f>
        <v>15</v>
      </c>
      <c r="L213" s="178">
        <f>8*15/8</f>
        <v>15</v>
      </c>
      <c r="M213" s="178">
        <f>8*15/8</f>
        <v>15</v>
      </c>
      <c r="N213" s="178">
        <f>8*15/8</f>
        <v>15</v>
      </c>
      <c r="O213" s="177">
        <f>15*15/8</f>
        <v>28.125</v>
      </c>
      <c r="P213" s="177">
        <f>8*15/8</f>
        <v>15</v>
      </c>
    </row>
    <row r="214" spans="1:17" x14ac:dyDescent="0.2">
      <c r="A214" s="201" t="s">
        <v>293</v>
      </c>
      <c r="C214" s="145" t="s">
        <v>410</v>
      </c>
      <c r="D214" s="142">
        <v>3</v>
      </c>
      <c r="E214" s="142">
        <v>3</v>
      </c>
      <c r="F214" s="145" t="s">
        <v>410</v>
      </c>
      <c r="G214" s="142">
        <v>2</v>
      </c>
      <c r="H214" s="142">
        <v>11</v>
      </c>
      <c r="I214" s="21">
        <v>6</v>
      </c>
      <c r="J214" s="142">
        <v>11</v>
      </c>
      <c r="K214" s="142">
        <v>8</v>
      </c>
      <c r="L214" s="142">
        <v>4</v>
      </c>
      <c r="M214" s="142">
        <v>1</v>
      </c>
      <c r="N214" s="142">
        <v>1</v>
      </c>
      <c r="O214" s="142">
        <v>1</v>
      </c>
      <c r="P214" s="142">
        <v>1</v>
      </c>
    </row>
    <row r="215" spans="1:17" x14ac:dyDescent="0.2">
      <c r="A215" s="201" t="s">
        <v>295</v>
      </c>
      <c r="C215" s="145" t="s">
        <v>410</v>
      </c>
      <c r="D215" s="142">
        <v>5.0999999999999996</v>
      </c>
      <c r="E215" s="142">
        <v>5.0999999999999996</v>
      </c>
      <c r="F215" s="145" t="s">
        <v>410</v>
      </c>
      <c r="G215" s="21">
        <v>3.8</v>
      </c>
      <c r="H215" s="142">
        <v>1.6</v>
      </c>
      <c r="I215" s="142">
        <v>4.5</v>
      </c>
      <c r="J215" s="142">
        <v>1.6</v>
      </c>
      <c r="K215" s="142">
        <v>5.0999999999999996</v>
      </c>
      <c r="L215" s="142">
        <v>5.0999999999999996</v>
      </c>
      <c r="M215" s="142">
        <v>5.0999999999999996</v>
      </c>
      <c r="N215" s="142">
        <v>18.899999999999999</v>
      </c>
      <c r="O215" s="142">
        <v>2.7</v>
      </c>
      <c r="P215" s="142">
        <v>3.5</v>
      </c>
    </row>
    <row r="216" spans="1:17" x14ac:dyDescent="0.2">
      <c r="A216" s="201" t="s">
        <v>296</v>
      </c>
      <c r="C216" s="145" t="s">
        <v>414</v>
      </c>
      <c r="D216" s="142">
        <v>1.5</v>
      </c>
      <c r="E216" s="142">
        <v>1.5</v>
      </c>
      <c r="F216" s="145" t="s">
        <v>414</v>
      </c>
      <c r="G216" s="21">
        <v>6</v>
      </c>
      <c r="H216" s="142">
        <v>4</v>
      </c>
      <c r="I216" s="21">
        <v>12</v>
      </c>
      <c r="J216" s="21">
        <v>6</v>
      </c>
      <c r="K216" s="21">
        <v>2</v>
      </c>
      <c r="L216" s="21">
        <v>3</v>
      </c>
      <c r="M216" s="21">
        <v>2</v>
      </c>
      <c r="N216" s="21">
        <v>10</v>
      </c>
      <c r="O216" s="142">
        <v>10</v>
      </c>
      <c r="P216" s="142">
        <v>3.2</v>
      </c>
    </row>
    <row r="217" spans="1:17" x14ac:dyDescent="0.2">
      <c r="A217" s="21" t="s">
        <v>19</v>
      </c>
      <c r="B217" s="204"/>
      <c r="C217" s="143"/>
      <c r="D217" s="142">
        <v>0.75</v>
      </c>
      <c r="E217" s="142">
        <v>0.75</v>
      </c>
      <c r="F217" s="148">
        <v>0.75</v>
      </c>
      <c r="G217" s="142">
        <v>0.75</v>
      </c>
      <c r="H217" s="142">
        <v>0.75</v>
      </c>
      <c r="I217" s="142">
        <v>0.75</v>
      </c>
      <c r="J217" s="142">
        <v>0.75</v>
      </c>
      <c r="K217" s="142">
        <v>0.75</v>
      </c>
      <c r="L217" s="142">
        <v>0.75</v>
      </c>
      <c r="M217" s="142">
        <v>0.75</v>
      </c>
      <c r="N217" s="142">
        <v>0.75</v>
      </c>
      <c r="O217" s="142">
        <v>0.75</v>
      </c>
      <c r="P217" s="142">
        <v>0.75</v>
      </c>
    </row>
    <row r="218" spans="1:17" x14ac:dyDescent="0.2">
      <c r="A218" s="21" t="s">
        <v>20</v>
      </c>
      <c r="B218" s="204"/>
      <c r="C218" s="144"/>
      <c r="D218" s="59" t="s">
        <v>15</v>
      </c>
      <c r="E218" s="59" t="s">
        <v>15</v>
      </c>
      <c r="F218" s="59" t="s">
        <v>15</v>
      </c>
      <c r="G218" s="59" t="s">
        <v>15</v>
      </c>
      <c r="H218" s="59" t="s">
        <v>15</v>
      </c>
      <c r="I218" s="59" t="s">
        <v>15</v>
      </c>
      <c r="J218" s="59" t="s">
        <v>15</v>
      </c>
      <c r="K218" s="59" t="s">
        <v>15</v>
      </c>
      <c r="L218" s="59" t="s">
        <v>15</v>
      </c>
      <c r="M218" s="59" t="s">
        <v>15</v>
      </c>
      <c r="N218" s="59" t="s">
        <v>15</v>
      </c>
      <c r="O218" s="59" t="s">
        <v>15</v>
      </c>
      <c r="P218" s="59" t="s">
        <v>15</v>
      </c>
      <c r="Q218" s="59" t="s">
        <v>15</v>
      </c>
    </row>
    <row r="219" spans="1:17" x14ac:dyDescent="0.2">
      <c r="A219" s="21" t="s">
        <v>21</v>
      </c>
      <c r="B219" s="204"/>
      <c r="C219" s="144"/>
      <c r="D219" s="59" t="s">
        <v>15</v>
      </c>
      <c r="E219" s="59" t="s">
        <v>15</v>
      </c>
      <c r="F219" s="59" t="s">
        <v>15</v>
      </c>
      <c r="G219" s="59" t="s">
        <v>15</v>
      </c>
      <c r="H219" s="59" t="s">
        <v>15</v>
      </c>
      <c r="I219" s="59" t="s">
        <v>15</v>
      </c>
      <c r="J219" s="59" t="s">
        <v>15</v>
      </c>
      <c r="K219" s="59" t="s">
        <v>15</v>
      </c>
      <c r="L219" s="59" t="s">
        <v>15</v>
      </c>
      <c r="M219" s="59" t="s">
        <v>15</v>
      </c>
      <c r="N219" s="59" t="s">
        <v>15</v>
      </c>
      <c r="O219" s="59" t="s">
        <v>15</v>
      </c>
      <c r="P219" s="59" t="s">
        <v>15</v>
      </c>
      <c r="Q219" s="59" t="s">
        <v>15</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zoomScale="90" zoomScaleNormal="90" workbookViewId="0">
      <pane xSplit="3" topLeftCell="D1" activePane="topRight" state="frozen"/>
      <selection pane="topRight" activeCell="L54" sqref="L54"/>
    </sheetView>
  </sheetViews>
  <sheetFormatPr baseColWidth="10" defaultColWidth="9.140625" defaultRowHeight="15" x14ac:dyDescent="0.25"/>
  <cols>
    <col min="1" max="1" width="45.42578125" customWidth="1"/>
    <col min="2" max="2" width="15.85546875" customWidth="1"/>
    <col min="3" max="3" width="24.28515625" customWidth="1"/>
    <col min="4" max="4" width="15.5703125" customWidth="1"/>
    <col min="5" max="5" width="17.7109375" customWidth="1"/>
    <col min="6" max="6" width="16.85546875" customWidth="1"/>
    <col min="7" max="7" width="22.42578125" customWidth="1"/>
    <col min="9" max="9" width="15.7109375" customWidth="1"/>
    <col min="12" max="12" width="15.28515625" customWidth="1"/>
    <col min="15" max="15" width="14.7109375" customWidth="1"/>
  </cols>
  <sheetData>
    <row r="1" spans="1:9" x14ac:dyDescent="0.25">
      <c r="A1" s="4" t="s">
        <v>320</v>
      </c>
    </row>
    <row r="3" spans="1:9" x14ac:dyDescent="0.25">
      <c r="A3" s="4" t="s">
        <v>307</v>
      </c>
      <c r="B3" s="4" t="s">
        <v>197</v>
      </c>
      <c r="C3" s="4" t="s">
        <v>322</v>
      </c>
    </row>
    <row r="4" spans="1:9" x14ac:dyDescent="0.25">
      <c r="A4" s="17" t="s">
        <v>308</v>
      </c>
      <c r="B4" s="17" t="s">
        <v>321</v>
      </c>
      <c r="C4" s="17" t="s">
        <v>321</v>
      </c>
    </row>
    <row r="5" spans="1:9" x14ac:dyDescent="0.25">
      <c r="A5" s="17" t="s">
        <v>309</v>
      </c>
      <c r="B5" s="192" t="s">
        <v>468</v>
      </c>
      <c r="C5" s="192" t="s">
        <v>325</v>
      </c>
    </row>
    <row r="6" spans="1:9" x14ac:dyDescent="0.25">
      <c r="A6" s="17" t="s">
        <v>310</v>
      </c>
      <c r="B6" s="192" t="s">
        <v>464</v>
      </c>
      <c r="C6" s="192" t="s">
        <v>326</v>
      </c>
    </row>
    <row r="8" spans="1:9" x14ac:dyDescent="0.25">
      <c r="A8" s="4" t="s">
        <v>450</v>
      </c>
      <c r="G8" s="254"/>
      <c r="I8" s="254"/>
    </row>
    <row r="9" spans="1:9" x14ac:dyDescent="0.25">
      <c r="A9" t="s">
        <v>457</v>
      </c>
    </row>
    <row r="10" spans="1:9" x14ac:dyDescent="0.25">
      <c r="A10" t="s">
        <v>458</v>
      </c>
      <c r="F10" s="44"/>
      <c r="I10" s="44"/>
    </row>
    <row r="11" spans="1:9" x14ac:dyDescent="0.25">
      <c r="A11" t="s">
        <v>462</v>
      </c>
      <c r="F11" s="44"/>
      <c r="I11" s="44"/>
    </row>
    <row r="12" spans="1:9" x14ac:dyDescent="0.25">
      <c r="A12" t="s">
        <v>506</v>
      </c>
      <c r="F12" s="44"/>
      <c r="I12" s="44"/>
    </row>
    <row r="13" spans="1:9" x14ac:dyDescent="0.25">
      <c r="A13" t="s">
        <v>463</v>
      </c>
      <c r="F13" s="44"/>
      <c r="I13" s="44"/>
    </row>
    <row r="14" spans="1:9" x14ac:dyDescent="0.25">
      <c r="A14" t="s">
        <v>469</v>
      </c>
      <c r="F14" s="44"/>
      <c r="I14" s="44"/>
    </row>
    <row r="15" spans="1:9" x14ac:dyDescent="0.25">
      <c r="A15" t="s">
        <v>470</v>
      </c>
      <c r="F15" s="44"/>
      <c r="I15" s="44"/>
    </row>
    <row r="16" spans="1:9" x14ac:dyDescent="0.25">
      <c r="A16" t="s">
        <v>471</v>
      </c>
      <c r="F16" s="44"/>
      <c r="I16" s="44"/>
    </row>
    <row r="17" spans="1:9" x14ac:dyDescent="0.25">
      <c r="A17" t="s">
        <v>472</v>
      </c>
      <c r="F17" s="44"/>
      <c r="I17" s="44"/>
    </row>
    <row r="18" spans="1:9" x14ac:dyDescent="0.25">
      <c r="A18" t="s">
        <v>473</v>
      </c>
    </row>
    <row r="20" spans="1:9" x14ac:dyDescent="0.25">
      <c r="A20" s="20" t="s">
        <v>440</v>
      </c>
    </row>
    <row r="21" spans="1:9" x14ac:dyDescent="0.25">
      <c r="A21" s="18"/>
      <c r="B21" s="694" t="s">
        <v>197</v>
      </c>
      <c r="C21" s="695"/>
      <c r="D21" s="696"/>
      <c r="E21" s="697" t="s">
        <v>441</v>
      </c>
      <c r="F21" s="697"/>
      <c r="G21" s="17" t="s">
        <v>445</v>
      </c>
    </row>
    <row r="22" spans="1:9" x14ac:dyDescent="0.25">
      <c r="A22" s="91"/>
      <c r="B22" s="93" t="s">
        <v>199</v>
      </c>
      <c r="C22" s="92" t="s">
        <v>8</v>
      </c>
      <c r="D22" s="92" t="s">
        <v>198</v>
      </c>
      <c r="E22" s="92" t="s">
        <v>442</v>
      </c>
      <c r="F22" s="92" t="s">
        <v>443</v>
      </c>
      <c r="G22" s="17"/>
    </row>
    <row r="23" spans="1:9" x14ac:dyDescent="0.25">
      <c r="A23" s="68"/>
      <c r="B23" s="92" t="s">
        <v>200</v>
      </c>
      <c r="C23" s="92" t="s">
        <v>200</v>
      </c>
      <c r="D23" s="92" t="s">
        <v>200</v>
      </c>
      <c r="E23" s="255" t="s">
        <v>444</v>
      </c>
      <c r="F23" s="255" t="s">
        <v>444</v>
      </c>
      <c r="G23" s="255" t="s">
        <v>444</v>
      </c>
    </row>
    <row r="24" spans="1:9" x14ac:dyDescent="0.25">
      <c r="A24" s="73" t="s">
        <v>11</v>
      </c>
      <c r="B24" s="94" t="s">
        <v>201</v>
      </c>
      <c r="C24" s="194" t="s">
        <v>202</v>
      </c>
      <c r="D24" s="193" t="s">
        <v>202</v>
      </c>
      <c r="E24" s="256">
        <v>21</v>
      </c>
      <c r="F24" s="74">
        <v>19</v>
      </c>
      <c r="G24" s="257" t="s">
        <v>15</v>
      </c>
    </row>
    <row r="25" spans="1:9" x14ac:dyDescent="0.25">
      <c r="A25" s="24" t="s">
        <v>1</v>
      </c>
      <c r="B25" s="94" t="s">
        <v>201</v>
      </c>
      <c r="C25" s="194" t="s">
        <v>202</v>
      </c>
      <c r="D25" s="193" t="s">
        <v>202</v>
      </c>
      <c r="E25" s="258">
        <v>21</v>
      </c>
      <c r="F25" s="79">
        <v>19</v>
      </c>
      <c r="G25" s="97" t="s">
        <v>15</v>
      </c>
    </row>
    <row r="26" spans="1:9" x14ac:dyDescent="0.25">
      <c r="A26" s="91" t="s">
        <v>97</v>
      </c>
      <c r="B26" s="94" t="s">
        <v>203</v>
      </c>
      <c r="C26" s="94" t="s">
        <v>203</v>
      </c>
      <c r="D26" s="95" t="s">
        <v>203</v>
      </c>
      <c r="E26" s="258">
        <v>21</v>
      </c>
      <c r="F26" s="79">
        <v>19</v>
      </c>
      <c r="G26" s="97" t="s">
        <v>15</v>
      </c>
    </row>
    <row r="27" spans="1:9" x14ac:dyDescent="0.25">
      <c r="A27" s="91" t="s">
        <v>98</v>
      </c>
      <c r="B27" s="94" t="s">
        <v>204</v>
      </c>
      <c r="C27" s="94" t="s">
        <v>204</v>
      </c>
      <c r="D27" s="95" t="s">
        <v>204</v>
      </c>
      <c r="E27" s="258">
        <v>21</v>
      </c>
      <c r="F27" s="79">
        <v>19</v>
      </c>
      <c r="G27" s="259">
        <v>22</v>
      </c>
    </row>
    <row r="28" spans="1:9" x14ac:dyDescent="0.25">
      <c r="A28" s="91" t="s">
        <v>99</v>
      </c>
      <c r="B28" s="94" t="s">
        <v>205</v>
      </c>
      <c r="C28" s="94" t="s">
        <v>205</v>
      </c>
      <c r="D28" s="95" t="s">
        <v>205</v>
      </c>
      <c r="E28" s="258">
        <v>21</v>
      </c>
      <c r="F28" s="79">
        <v>19</v>
      </c>
      <c r="G28" s="259">
        <v>22</v>
      </c>
    </row>
    <row r="29" spans="1:9" x14ac:dyDescent="0.25">
      <c r="A29" s="91" t="s">
        <v>100</v>
      </c>
      <c r="B29" s="94" t="s">
        <v>204</v>
      </c>
      <c r="C29" s="94" t="s">
        <v>204</v>
      </c>
      <c r="D29" s="95" t="s">
        <v>204</v>
      </c>
      <c r="E29" s="258">
        <v>21</v>
      </c>
      <c r="F29" s="79">
        <v>19</v>
      </c>
      <c r="G29" s="259">
        <v>22</v>
      </c>
    </row>
    <row r="30" spans="1:9" x14ac:dyDescent="0.25">
      <c r="A30" s="91" t="s">
        <v>101</v>
      </c>
      <c r="B30" s="94" t="s">
        <v>201</v>
      </c>
      <c r="C30" s="94" t="s">
        <v>201</v>
      </c>
      <c r="D30" s="193" t="s">
        <v>202</v>
      </c>
      <c r="E30" s="258">
        <v>21</v>
      </c>
      <c r="F30" s="79">
        <v>19</v>
      </c>
      <c r="G30" s="259">
        <v>22</v>
      </c>
    </row>
    <row r="31" spans="1:9" x14ac:dyDescent="0.25">
      <c r="A31" s="91" t="s">
        <v>102</v>
      </c>
      <c r="B31" s="94" t="s">
        <v>201</v>
      </c>
      <c r="C31" s="94" t="s">
        <v>201</v>
      </c>
      <c r="D31" s="193" t="s">
        <v>202</v>
      </c>
      <c r="E31" s="258">
        <v>21</v>
      </c>
      <c r="F31" s="79">
        <v>19</v>
      </c>
      <c r="G31" s="259">
        <v>22</v>
      </c>
    </row>
    <row r="32" spans="1:9" x14ac:dyDescent="0.25">
      <c r="A32" s="91" t="s">
        <v>103</v>
      </c>
      <c r="B32" s="94" t="s">
        <v>201</v>
      </c>
      <c r="C32" s="94" t="s">
        <v>201</v>
      </c>
      <c r="D32" s="193" t="s">
        <v>202</v>
      </c>
      <c r="E32" s="258">
        <v>21</v>
      </c>
      <c r="F32" s="79">
        <v>19</v>
      </c>
      <c r="G32" s="259">
        <v>22</v>
      </c>
    </row>
    <row r="33" spans="1:21" x14ac:dyDescent="0.25">
      <c r="A33" s="91" t="s">
        <v>104</v>
      </c>
      <c r="B33" s="94" t="s">
        <v>206</v>
      </c>
      <c r="C33" s="94" t="s">
        <v>206</v>
      </c>
      <c r="D33" s="95" t="s">
        <v>206</v>
      </c>
      <c r="E33" s="260">
        <v>19</v>
      </c>
      <c r="F33" s="261">
        <v>17</v>
      </c>
      <c r="G33" s="259">
        <v>22</v>
      </c>
    </row>
    <row r="34" spans="1:21" x14ac:dyDescent="0.25">
      <c r="A34" s="91" t="s">
        <v>105</v>
      </c>
      <c r="B34" s="96" t="s">
        <v>207</v>
      </c>
      <c r="C34" s="96" t="s">
        <v>207</v>
      </c>
      <c r="D34" s="97" t="s">
        <v>207</v>
      </c>
      <c r="E34" s="258">
        <v>21</v>
      </c>
      <c r="F34" s="79">
        <v>19</v>
      </c>
      <c r="G34" s="259">
        <v>22</v>
      </c>
    </row>
    <row r="35" spans="1:21" x14ac:dyDescent="0.25">
      <c r="A35" s="91" t="s">
        <v>106</v>
      </c>
      <c r="B35" s="94" t="s">
        <v>208</v>
      </c>
      <c r="C35" s="94" t="s">
        <v>208</v>
      </c>
      <c r="D35" s="95" t="s">
        <v>208</v>
      </c>
      <c r="E35" s="258">
        <v>21</v>
      </c>
      <c r="F35" s="79">
        <v>19</v>
      </c>
      <c r="G35" s="259">
        <v>22</v>
      </c>
    </row>
    <row r="36" spans="1:21" x14ac:dyDescent="0.25">
      <c r="A36" s="83" t="s">
        <v>195</v>
      </c>
      <c r="B36" s="98" t="s">
        <v>209</v>
      </c>
      <c r="C36" s="98" t="s">
        <v>209</v>
      </c>
      <c r="D36" s="99" t="s">
        <v>209</v>
      </c>
      <c r="E36" s="262">
        <v>21</v>
      </c>
      <c r="F36" s="263">
        <v>19</v>
      </c>
      <c r="G36" s="264">
        <v>22</v>
      </c>
    </row>
    <row r="38" spans="1:21" x14ac:dyDescent="0.25">
      <c r="A38" s="4" t="s">
        <v>459</v>
      </c>
      <c r="B38" s="462" t="s">
        <v>460</v>
      </c>
      <c r="C38" s="461"/>
      <c r="D38" s="459" t="s">
        <v>323</v>
      </c>
      <c r="E38" s="460"/>
      <c r="F38" s="461" t="s">
        <v>461</v>
      </c>
      <c r="G38" s="459" t="s">
        <v>324</v>
      </c>
      <c r="H38" s="460"/>
      <c r="I38" s="461" t="s">
        <v>461</v>
      </c>
      <c r="J38" s="459" t="s">
        <v>464</v>
      </c>
      <c r="K38" s="66"/>
      <c r="L38" s="461" t="s">
        <v>461</v>
      </c>
      <c r="M38" s="459" t="s">
        <v>465</v>
      </c>
      <c r="N38" s="66"/>
      <c r="O38" s="461" t="s">
        <v>461</v>
      </c>
      <c r="P38" s="4"/>
      <c r="Q38" s="4"/>
      <c r="R38" s="4"/>
      <c r="S38" s="4"/>
      <c r="U38" s="4"/>
    </row>
    <row r="39" spans="1:21" x14ac:dyDescent="0.25">
      <c r="A39" t="s">
        <v>426</v>
      </c>
      <c r="B39" s="324" t="s">
        <v>427</v>
      </c>
      <c r="C39" s="25"/>
      <c r="D39" s="324" t="s">
        <v>427</v>
      </c>
      <c r="E39" s="1"/>
      <c r="F39" s="25"/>
      <c r="G39" s="324" t="s">
        <v>427</v>
      </c>
      <c r="H39" s="1"/>
      <c r="I39" s="25"/>
      <c r="J39" s="324" t="s">
        <v>427</v>
      </c>
      <c r="K39" s="1"/>
      <c r="L39" s="25"/>
      <c r="M39" s="324" t="s">
        <v>427</v>
      </c>
      <c r="N39" s="1"/>
      <c r="O39" s="25"/>
    </row>
    <row r="40" spans="1:21" x14ac:dyDescent="0.25">
      <c r="A40" t="s">
        <v>428</v>
      </c>
      <c r="B40" s="324">
        <v>102.5</v>
      </c>
      <c r="C40" s="25" t="s">
        <v>429</v>
      </c>
      <c r="D40" s="324">
        <v>100.6</v>
      </c>
      <c r="E40" s="1" t="s">
        <v>429</v>
      </c>
      <c r="F40" s="440">
        <f t="shared" ref="F40:F49" si="0">(D40-$B40)/$B40</f>
        <v>-1.8536585365853713E-2</v>
      </c>
      <c r="G40" s="324">
        <v>98.6</v>
      </c>
      <c r="H40" s="1" t="s">
        <v>429</v>
      </c>
      <c r="I40" s="440">
        <f t="shared" ref="I40:I49" si="1">(G40-$B40)/$B40</f>
        <v>-3.8048780487804933E-2</v>
      </c>
      <c r="J40" s="324">
        <v>96.7</v>
      </c>
      <c r="K40" s="1" t="s">
        <v>429</v>
      </c>
      <c r="L40" s="440">
        <f t="shared" ref="L40:L49" si="2">(J40-$B40)/$B40</f>
        <v>-5.6585365853658511E-2</v>
      </c>
      <c r="M40" s="324">
        <v>94.8</v>
      </c>
      <c r="N40" s="1" t="s">
        <v>429</v>
      </c>
      <c r="O40" s="440">
        <f t="shared" ref="O40:O49" si="3">(M40-$B40)/$B40</f>
        <v>-7.512195121951222E-2</v>
      </c>
      <c r="R40" s="44"/>
      <c r="U40" s="44"/>
    </row>
    <row r="41" spans="1:21" x14ac:dyDescent="0.25">
      <c r="A41" t="s">
        <v>430</v>
      </c>
      <c r="B41" s="324">
        <v>24.1</v>
      </c>
      <c r="C41" s="25" t="s">
        <v>429</v>
      </c>
      <c r="D41" s="324">
        <v>26.1</v>
      </c>
      <c r="E41" s="1" t="s">
        <v>429</v>
      </c>
      <c r="F41" s="440">
        <f t="shared" si="0"/>
        <v>8.2987551867219914E-2</v>
      </c>
      <c r="G41" s="324">
        <v>28.8</v>
      </c>
      <c r="H41" s="1" t="s">
        <v>429</v>
      </c>
      <c r="I41" s="440">
        <f t="shared" si="1"/>
        <v>0.19502074688796675</v>
      </c>
      <c r="J41" s="324">
        <v>31</v>
      </c>
      <c r="K41" s="1" t="s">
        <v>429</v>
      </c>
      <c r="L41" s="440">
        <f t="shared" si="2"/>
        <v>0.28630705394190864</v>
      </c>
      <c r="M41" s="324">
        <v>33.299999999999997</v>
      </c>
      <c r="N41" s="1" t="s">
        <v>429</v>
      </c>
      <c r="O41" s="440">
        <f t="shared" si="3"/>
        <v>0.38174273858921143</v>
      </c>
      <c r="R41" s="44"/>
      <c r="U41" s="44"/>
    </row>
    <row r="42" spans="1:21" x14ac:dyDescent="0.25">
      <c r="A42" t="s">
        <v>431</v>
      </c>
      <c r="B42" s="324">
        <v>5</v>
      </c>
      <c r="C42" s="25" t="s">
        <v>429</v>
      </c>
      <c r="D42" s="324">
        <v>5</v>
      </c>
      <c r="E42" s="1" t="s">
        <v>429</v>
      </c>
      <c r="F42" s="440">
        <f t="shared" si="0"/>
        <v>0</v>
      </c>
      <c r="G42" s="324">
        <v>5</v>
      </c>
      <c r="H42" s="1" t="s">
        <v>429</v>
      </c>
      <c r="I42" s="440">
        <f t="shared" si="1"/>
        <v>0</v>
      </c>
      <c r="J42" s="324">
        <v>5</v>
      </c>
      <c r="K42" s="1" t="s">
        <v>429</v>
      </c>
      <c r="L42" s="440">
        <f t="shared" si="2"/>
        <v>0</v>
      </c>
      <c r="M42" s="324">
        <v>5</v>
      </c>
      <c r="N42" s="1" t="s">
        <v>429</v>
      </c>
      <c r="O42" s="440">
        <f t="shared" si="3"/>
        <v>0</v>
      </c>
      <c r="R42" s="44"/>
      <c r="U42" s="44"/>
    </row>
    <row r="43" spans="1:21" x14ac:dyDescent="0.25">
      <c r="A43" t="s">
        <v>432</v>
      </c>
      <c r="B43" s="324">
        <v>26.1</v>
      </c>
      <c r="C43" s="25" t="s">
        <v>429</v>
      </c>
      <c r="D43" s="324">
        <v>28.3</v>
      </c>
      <c r="E43" s="1" t="s">
        <v>429</v>
      </c>
      <c r="F43" s="440">
        <f t="shared" si="0"/>
        <v>8.4291187739463563E-2</v>
      </c>
      <c r="G43" s="324">
        <v>30.5</v>
      </c>
      <c r="H43" s="1" t="s">
        <v>429</v>
      </c>
      <c r="I43" s="440">
        <f t="shared" si="1"/>
        <v>0.16858237547892713</v>
      </c>
      <c r="J43" s="324">
        <v>32.6</v>
      </c>
      <c r="K43" s="1" t="s">
        <v>429</v>
      </c>
      <c r="L43" s="440">
        <f t="shared" si="2"/>
        <v>0.24904214559386972</v>
      </c>
      <c r="M43" s="324">
        <v>34.799999999999997</v>
      </c>
      <c r="N43" s="1" t="s">
        <v>429</v>
      </c>
      <c r="O43" s="440">
        <f t="shared" si="3"/>
        <v>0.33333333333333315</v>
      </c>
      <c r="R43" s="44"/>
      <c r="U43" s="44"/>
    </row>
    <row r="44" spans="1:21" x14ac:dyDescent="0.25">
      <c r="A44" t="s">
        <v>433</v>
      </c>
      <c r="B44" s="324">
        <v>3.3</v>
      </c>
      <c r="C44" s="25" t="s">
        <v>429</v>
      </c>
      <c r="D44" s="324">
        <v>3.3</v>
      </c>
      <c r="E44" s="1" t="s">
        <v>429</v>
      </c>
      <c r="F44" s="440">
        <f t="shared" si="0"/>
        <v>0</v>
      </c>
      <c r="G44" s="324">
        <v>3.2</v>
      </c>
      <c r="H44" s="1" t="s">
        <v>429</v>
      </c>
      <c r="I44" s="440">
        <f t="shared" si="1"/>
        <v>-3.0303030303030196E-2</v>
      </c>
      <c r="J44" s="324">
        <v>3.2</v>
      </c>
      <c r="K44" s="1" t="s">
        <v>429</v>
      </c>
      <c r="L44" s="440">
        <f t="shared" si="2"/>
        <v>-3.0303030303030196E-2</v>
      </c>
      <c r="M44" s="324">
        <v>3.2</v>
      </c>
      <c r="N44" s="1" t="s">
        <v>429</v>
      </c>
      <c r="O44" s="440">
        <f t="shared" si="3"/>
        <v>-3.0303030303030196E-2</v>
      </c>
      <c r="R44" s="44"/>
      <c r="U44" s="44"/>
    </row>
    <row r="45" spans="1:21" x14ac:dyDescent="0.25">
      <c r="A45" t="s">
        <v>434</v>
      </c>
      <c r="B45" s="324">
        <v>25.1</v>
      </c>
      <c r="C45" s="25" t="s">
        <v>429</v>
      </c>
      <c r="D45" s="324">
        <v>27.1</v>
      </c>
      <c r="E45" s="1" t="s">
        <v>429</v>
      </c>
      <c r="F45" s="440">
        <f t="shared" si="0"/>
        <v>7.9681274900398405E-2</v>
      </c>
      <c r="G45" s="324">
        <v>29.2</v>
      </c>
      <c r="H45" s="1" t="s">
        <v>429</v>
      </c>
      <c r="I45" s="440">
        <f t="shared" si="1"/>
        <v>0.16334661354581664</v>
      </c>
      <c r="J45" s="324">
        <v>31.3</v>
      </c>
      <c r="K45" s="1" t="s">
        <v>429</v>
      </c>
      <c r="L45" s="440">
        <f t="shared" si="2"/>
        <v>0.24701195219123501</v>
      </c>
      <c r="M45" s="324">
        <v>33.4</v>
      </c>
      <c r="N45" s="1" t="s">
        <v>429</v>
      </c>
      <c r="O45" s="440">
        <f t="shared" si="3"/>
        <v>0.33067729083665326</v>
      </c>
      <c r="R45" s="44"/>
      <c r="U45" s="44"/>
    </row>
    <row r="46" spans="1:21" x14ac:dyDescent="0.25">
      <c r="A46" t="s">
        <v>435</v>
      </c>
      <c r="B46" s="324">
        <v>34.5</v>
      </c>
      <c r="C46" s="25" t="s">
        <v>429</v>
      </c>
      <c r="D46" s="324">
        <v>37.299999999999997</v>
      </c>
      <c r="E46" s="1" t="s">
        <v>429</v>
      </c>
      <c r="F46" s="440">
        <f t="shared" si="0"/>
        <v>8.1159420289854983E-2</v>
      </c>
      <c r="G46" s="324">
        <v>40.200000000000003</v>
      </c>
      <c r="H46" s="1" t="s">
        <v>429</v>
      </c>
      <c r="I46" s="440">
        <f t="shared" si="1"/>
        <v>0.1652173913043479</v>
      </c>
      <c r="J46" s="324">
        <v>43.1</v>
      </c>
      <c r="K46" s="1" t="s">
        <v>429</v>
      </c>
      <c r="L46" s="440">
        <f t="shared" si="2"/>
        <v>0.24927536231884062</v>
      </c>
      <c r="M46" s="324">
        <v>45.9</v>
      </c>
      <c r="N46" s="1" t="s">
        <v>429</v>
      </c>
      <c r="O46" s="440">
        <f t="shared" si="3"/>
        <v>0.33043478260869563</v>
      </c>
      <c r="R46" s="44"/>
      <c r="U46" s="44"/>
    </row>
    <row r="47" spans="1:21" x14ac:dyDescent="0.25">
      <c r="A47" t="s">
        <v>436</v>
      </c>
      <c r="B47" s="324">
        <v>0</v>
      </c>
      <c r="C47" s="25" t="s">
        <v>429</v>
      </c>
      <c r="D47" s="324">
        <v>0</v>
      </c>
      <c r="E47" s="1" t="s">
        <v>429</v>
      </c>
      <c r="F47" s="440" t="e">
        <f t="shared" si="0"/>
        <v>#DIV/0!</v>
      </c>
      <c r="G47" s="324">
        <v>0</v>
      </c>
      <c r="H47" s="1" t="s">
        <v>429</v>
      </c>
      <c r="I47" s="440" t="e">
        <f t="shared" si="1"/>
        <v>#DIV/0!</v>
      </c>
      <c r="J47" s="324">
        <v>0</v>
      </c>
      <c r="K47" s="1" t="s">
        <v>429</v>
      </c>
      <c r="L47" s="440" t="e">
        <f t="shared" si="2"/>
        <v>#DIV/0!</v>
      </c>
      <c r="M47" s="324">
        <v>0</v>
      </c>
      <c r="N47" s="1" t="s">
        <v>429</v>
      </c>
      <c r="O47" s="440" t="e">
        <f t="shared" si="3"/>
        <v>#DIV/0!</v>
      </c>
      <c r="R47" s="44"/>
      <c r="U47" s="44"/>
    </row>
    <row r="48" spans="1:21" x14ac:dyDescent="0.25">
      <c r="A48" t="s">
        <v>437</v>
      </c>
      <c r="B48" s="324">
        <v>15.7</v>
      </c>
      <c r="C48" s="25" t="s">
        <v>429</v>
      </c>
      <c r="D48" s="324">
        <v>17</v>
      </c>
      <c r="E48" s="1" t="s">
        <v>429</v>
      </c>
      <c r="F48" s="440">
        <f t="shared" si="0"/>
        <v>8.2802547770700688E-2</v>
      </c>
      <c r="G48" s="324">
        <v>17.100000000000001</v>
      </c>
      <c r="H48" s="1" t="s">
        <v>429</v>
      </c>
      <c r="I48" s="440">
        <f t="shared" si="1"/>
        <v>8.917197452229314E-2</v>
      </c>
      <c r="J48" s="324">
        <v>18.100000000000001</v>
      </c>
      <c r="K48" s="1" t="s">
        <v>429</v>
      </c>
      <c r="L48" s="440">
        <f t="shared" si="2"/>
        <v>0.15286624203821669</v>
      </c>
      <c r="M48" s="324">
        <v>18.7</v>
      </c>
      <c r="N48" s="1" t="s">
        <v>429</v>
      </c>
      <c r="O48" s="440">
        <f t="shared" si="3"/>
        <v>0.19108280254777071</v>
      </c>
      <c r="R48" s="44"/>
      <c r="U48" s="44"/>
    </row>
    <row r="49" spans="1:21" x14ac:dyDescent="0.25">
      <c r="A49" t="s">
        <v>438</v>
      </c>
      <c r="B49" s="325">
        <v>236.1</v>
      </c>
      <c r="C49" s="27" t="s">
        <v>429</v>
      </c>
      <c r="D49" s="325">
        <v>244.8</v>
      </c>
      <c r="E49" s="71" t="s">
        <v>429</v>
      </c>
      <c r="F49" s="442">
        <f t="shared" si="0"/>
        <v>3.6848792884371102E-2</v>
      </c>
      <c r="G49" s="325">
        <v>252.7</v>
      </c>
      <c r="H49" s="71" t="s">
        <v>429</v>
      </c>
      <c r="I49" s="442">
        <f t="shared" si="1"/>
        <v>7.0309191020753892E-2</v>
      </c>
      <c r="J49" s="325">
        <v>261.10000000000002</v>
      </c>
      <c r="K49" s="71" t="s">
        <v>429</v>
      </c>
      <c r="L49" s="442">
        <f t="shared" si="2"/>
        <v>0.10588733587462952</v>
      </c>
      <c r="M49" s="325">
        <v>269.2</v>
      </c>
      <c r="N49" s="71" t="s">
        <v>429</v>
      </c>
      <c r="O49" s="442">
        <f t="shared" si="3"/>
        <v>0.14019483269800931</v>
      </c>
      <c r="R49" s="44"/>
      <c r="U49" s="44"/>
    </row>
    <row r="51" spans="1:21" x14ac:dyDescent="0.25">
      <c r="A51" s="4" t="s">
        <v>459</v>
      </c>
      <c r="B51" s="462" t="s">
        <v>460</v>
      </c>
      <c r="C51" s="461"/>
      <c r="D51" s="459" t="s">
        <v>466</v>
      </c>
      <c r="E51" s="460"/>
      <c r="F51" s="461" t="s">
        <v>461</v>
      </c>
      <c r="G51" s="459" t="s">
        <v>467</v>
      </c>
      <c r="H51" s="460"/>
      <c r="I51" s="461" t="s">
        <v>461</v>
      </c>
      <c r="J51" s="265"/>
      <c r="L51" s="4"/>
      <c r="M51" s="265"/>
      <c r="O51" s="4"/>
      <c r="P51" s="4"/>
      <c r="Q51" s="4"/>
      <c r="R51" s="4"/>
      <c r="S51" s="4"/>
      <c r="U51" s="4"/>
    </row>
    <row r="52" spans="1:21" x14ac:dyDescent="0.25">
      <c r="A52" t="s">
        <v>426</v>
      </c>
      <c r="B52" s="324" t="s">
        <v>427</v>
      </c>
      <c r="C52" s="25"/>
      <c r="D52" s="324" t="s">
        <v>427</v>
      </c>
      <c r="E52" s="1"/>
      <c r="F52" s="25"/>
      <c r="G52" s="324" t="s">
        <v>427</v>
      </c>
      <c r="H52" s="1"/>
      <c r="I52" s="25"/>
    </row>
    <row r="53" spans="1:21" x14ac:dyDescent="0.25">
      <c r="A53" t="s">
        <v>428</v>
      </c>
      <c r="B53" s="324">
        <v>102.5</v>
      </c>
      <c r="C53" s="25" t="s">
        <v>429</v>
      </c>
      <c r="D53" s="324">
        <v>113.3</v>
      </c>
      <c r="E53" s="1" t="s">
        <v>429</v>
      </c>
      <c r="F53" s="440">
        <f t="shared" ref="F53:F62" si="4">(D53-$B53)/$B53</f>
        <v>0.10536585365853655</v>
      </c>
      <c r="G53" s="324">
        <v>127.7</v>
      </c>
      <c r="H53" s="1" t="s">
        <v>429</v>
      </c>
      <c r="I53" s="440">
        <f t="shared" ref="I53:I62" si="5">(G53-$B53)/$B53</f>
        <v>0.24585365853658539</v>
      </c>
      <c r="L53" s="44"/>
      <c r="O53" s="44"/>
      <c r="R53" s="44"/>
      <c r="U53" s="44"/>
    </row>
    <row r="54" spans="1:21" x14ac:dyDescent="0.25">
      <c r="A54" t="s">
        <v>430</v>
      </c>
      <c r="B54" s="324">
        <v>24.1</v>
      </c>
      <c r="C54" s="25" t="s">
        <v>429</v>
      </c>
      <c r="D54" s="324">
        <v>26.5</v>
      </c>
      <c r="E54" s="1" t="s">
        <v>429</v>
      </c>
      <c r="F54" s="440">
        <f t="shared" si="4"/>
        <v>9.9585062240663838E-2</v>
      </c>
      <c r="G54" s="324">
        <v>29</v>
      </c>
      <c r="H54" s="1" t="s">
        <v>429</v>
      </c>
      <c r="I54" s="440">
        <f t="shared" si="5"/>
        <v>0.20331950207468871</v>
      </c>
      <c r="L54" s="44"/>
      <c r="O54" s="44"/>
      <c r="R54" s="44"/>
      <c r="U54" s="44"/>
    </row>
    <row r="55" spans="1:21" x14ac:dyDescent="0.25">
      <c r="A55" t="s">
        <v>431</v>
      </c>
      <c r="B55" s="324">
        <v>5</v>
      </c>
      <c r="C55" s="25" t="s">
        <v>429</v>
      </c>
      <c r="D55" s="324">
        <v>5</v>
      </c>
      <c r="E55" s="1" t="s">
        <v>429</v>
      </c>
      <c r="F55" s="440">
        <f t="shared" si="4"/>
        <v>0</v>
      </c>
      <c r="G55" s="324">
        <v>5</v>
      </c>
      <c r="H55" s="1" t="s">
        <v>429</v>
      </c>
      <c r="I55" s="440">
        <f t="shared" si="5"/>
        <v>0</v>
      </c>
      <c r="L55" s="44"/>
      <c r="O55" s="44"/>
      <c r="R55" s="44"/>
      <c r="U55" s="44"/>
    </row>
    <row r="56" spans="1:21" x14ac:dyDescent="0.25">
      <c r="A56" t="s">
        <v>432</v>
      </c>
      <c r="B56" s="324">
        <v>26.1</v>
      </c>
      <c r="C56" s="25" t="s">
        <v>429</v>
      </c>
      <c r="D56" s="324">
        <v>26.1</v>
      </c>
      <c r="E56" s="1" t="s">
        <v>429</v>
      </c>
      <c r="F56" s="440">
        <f t="shared" si="4"/>
        <v>0</v>
      </c>
      <c r="G56" s="324">
        <v>26.1</v>
      </c>
      <c r="H56" s="1" t="s">
        <v>429</v>
      </c>
      <c r="I56" s="440">
        <f t="shared" si="5"/>
        <v>0</v>
      </c>
      <c r="L56" s="44"/>
      <c r="O56" s="44"/>
      <c r="R56" s="44"/>
      <c r="U56" s="44"/>
    </row>
    <row r="57" spans="1:21" x14ac:dyDescent="0.25">
      <c r="A57" t="s">
        <v>433</v>
      </c>
      <c r="B57" s="324">
        <v>3.3</v>
      </c>
      <c r="C57" s="25" t="s">
        <v>429</v>
      </c>
      <c r="D57" s="324">
        <v>3.2</v>
      </c>
      <c r="E57" s="1" t="s">
        <v>429</v>
      </c>
      <c r="F57" s="440">
        <f t="shared" si="4"/>
        <v>-3.0303030303030196E-2</v>
      </c>
      <c r="G57" s="324">
        <v>3.2</v>
      </c>
      <c r="H57" s="1" t="s">
        <v>429</v>
      </c>
      <c r="I57" s="440">
        <f t="shared" si="5"/>
        <v>-3.0303030303030196E-2</v>
      </c>
      <c r="L57" s="44"/>
      <c r="O57" s="44"/>
      <c r="R57" s="44"/>
      <c r="U57" s="44"/>
    </row>
    <row r="58" spans="1:21" x14ac:dyDescent="0.25">
      <c r="A58" t="s">
        <v>434</v>
      </c>
      <c r="B58" s="324">
        <v>25.1</v>
      </c>
      <c r="C58" s="25" t="s">
        <v>429</v>
      </c>
      <c r="D58" s="324">
        <v>25.1</v>
      </c>
      <c r="E58" s="1" t="s">
        <v>429</v>
      </c>
      <c r="F58" s="440">
        <f t="shared" si="4"/>
        <v>0</v>
      </c>
      <c r="G58" s="324">
        <v>25.1</v>
      </c>
      <c r="H58" s="1" t="s">
        <v>429</v>
      </c>
      <c r="I58" s="440">
        <f t="shared" si="5"/>
        <v>0</v>
      </c>
      <c r="L58" s="44"/>
      <c r="O58" s="44"/>
      <c r="R58" s="44"/>
      <c r="U58" s="44"/>
    </row>
    <row r="59" spans="1:21" x14ac:dyDescent="0.25">
      <c r="A59" t="s">
        <v>435</v>
      </c>
      <c r="B59" s="324">
        <v>34.5</v>
      </c>
      <c r="C59" s="25" t="s">
        <v>429</v>
      </c>
      <c r="D59" s="324">
        <v>34.5</v>
      </c>
      <c r="E59" s="1" t="s">
        <v>429</v>
      </c>
      <c r="F59" s="440">
        <f t="shared" si="4"/>
        <v>0</v>
      </c>
      <c r="G59" s="324">
        <v>34.5</v>
      </c>
      <c r="H59" s="1" t="s">
        <v>429</v>
      </c>
      <c r="I59" s="440">
        <f t="shared" si="5"/>
        <v>0</v>
      </c>
      <c r="L59" s="44"/>
      <c r="O59" s="44"/>
      <c r="R59" s="44"/>
      <c r="U59" s="44"/>
    </row>
    <row r="60" spans="1:21" x14ac:dyDescent="0.25">
      <c r="A60" t="s">
        <v>436</v>
      </c>
      <c r="B60" s="324">
        <v>0</v>
      </c>
      <c r="C60" s="25" t="s">
        <v>429</v>
      </c>
      <c r="D60" s="324">
        <v>0</v>
      </c>
      <c r="E60" s="1" t="s">
        <v>429</v>
      </c>
      <c r="F60" s="440" t="e">
        <f t="shared" si="4"/>
        <v>#DIV/0!</v>
      </c>
      <c r="G60" s="324">
        <v>0</v>
      </c>
      <c r="H60" s="1" t="s">
        <v>429</v>
      </c>
      <c r="I60" s="440" t="e">
        <f t="shared" si="5"/>
        <v>#DIV/0!</v>
      </c>
      <c r="L60" s="44"/>
      <c r="O60" s="44"/>
      <c r="R60" s="44"/>
      <c r="U60" s="44"/>
    </row>
    <row r="61" spans="1:21" x14ac:dyDescent="0.25">
      <c r="A61" t="s">
        <v>437</v>
      </c>
      <c r="B61" s="324">
        <v>15.7</v>
      </c>
      <c r="C61" s="25" t="s">
        <v>429</v>
      </c>
      <c r="D61" s="324">
        <v>18.8</v>
      </c>
      <c r="E61" s="1" t="s">
        <v>429</v>
      </c>
      <c r="F61" s="440">
        <f t="shared" si="4"/>
        <v>0.19745222929936315</v>
      </c>
      <c r="G61" s="324">
        <v>22.4</v>
      </c>
      <c r="H61" s="1" t="s">
        <v>429</v>
      </c>
      <c r="I61" s="440">
        <f t="shared" si="5"/>
        <v>0.42675159235668786</v>
      </c>
      <c r="L61" s="44"/>
      <c r="O61" s="44"/>
      <c r="R61" s="44"/>
      <c r="U61" s="44"/>
    </row>
    <row r="62" spans="1:21" x14ac:dyDescent="0.25">
      <c r="A62" t="s">
        <v>438</v>
      </c>
      <c r="B62" s="325">
        <v>236.1</v>
      </c>
      <c r="C62" s="27" t="s">
        <v>429</v>
      </c>
      <c r="D62" s="325">
        <v>252.4</v>
      </c>
      <c r="E62" s="71" t="s">
        <v>429</v>
      </c>
      <c r="F62" s="442">
        <f t="shared" si="4"/>
        <v>6.9038542990258411E-2</v>
      </c>
      <c r="G62" s="325">
        <v>272.89999999999998</v>
      </c>
      <c r="H62" s="71" t="s">
        <v>429</v>
      </c>
      <c r="I62" s="442">
        <f t="shared" si="5"/>
        <v>0.15586615840745441</v>
      </c>
      <c r="L62" s="44"/>
      <c r="O62" s="44"/>
      <c r="R62" s="44"/>
      <c r="U62" s="44"/>
    </row>
  </sheetData>
  <mergeCells count="2">
    <mergeCell ref="B21:D21"/>
    <mergeCell ref="E21:F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90" zoomScaleNormal="90" workbookViewId="0">
      <pane xSplit="3" topLeftCell="D1" activePane="topRight" state="frozen"/>
      <selection pane="topRight" activeCell="L29" sqref="L29"/>
    </sheetView>
  </sheetViews>
  <sheetFormatPr baseColWidth="10" defaultColWidth="9.140625" defaultRowHeight="15" x14ac:dyDescent="0.25"/>
  <cols>
    <col min="1" max="1" width="45.28515625" customWidth="1"/>
    <col min="2" max="2" width="9.7109375" customWidth="1"/>
    <col min="6" max="6" width="12.140625" bestFit="1" customWidth="1"/>
    <col min="9" max="9" width="12.140625" bestFit="1" customWidth="1"/>
    <col min="12" max="12" width="12.140625" bestFit="1" customWidth="1"/>
    <col min="15" max="15" width="12.140625" bestFit="1" customWidth="1"/>
    <col min="18" max="18" width="12.140625" bestFit="1" customWidth="1"/>
    <col min="21" max="21" width="12.140625" bestFit="1" customWidth="1"/>
  </cols>
  <sheetData>
    <row r="1" spans="1:21" x14ac:dyDescent="0.25">
      <c r="A1" s="4" t="s">
        <v>319</v>
      </c>
    </row>
    <row r="2" spans="1:21" x14ac:dyDescent="0.25">
      <c r="G2" s="254"/>
    </row>
    <row r="3" spans="1:21" x14ac:dyDescent="0.25">
      <c r="A3" s="4" t="s">
        <v>307</v>
      </c>
      <c r="B3" s="4" t="s">
        <v>318</v>
      </c>
      <c r="G3" s="254"/>
    </row>
    <row r="4" spans="1:21" x14ac:dyDescent="0.25">
      <c r="A4" s="17" t="s">
        <v>308</v>
      </c>
      <c r="B4" s="17" t="s">
        <v>311</v>
      </c>
      <c r="G4" s="254"/>
    </row>
    <row r="5" spans="1:21" x14ac:dyDescent="0.25">
      <c r="A5" s="17" t="s">
        <v>309</v>
      </c>
      <c r="B5" s="17" t="s">
        <v>312</v>
      </c>
      <c r="G5" s="254"/>
    </row>
    <row r="6" spans="1:21" x14ac:dyDescent="0.25">
      <c r="A6" s="17" t="s">
        <v>310</v>
      </c>
      <c r="B6" s="17" t="s">
        <v>313</v>
      </c>
      <c r="G6" s="254"/>
    </row>
    <row r="7" spans="1:21" x14ac:dyDescent="0.25">
      <c r="G7" s="254"/>
    </row>
    <row r="8" spans="1:21" x14ac:dyDescent="0.25">
      <c r="A8" s="4" t="s">
        <v>450</v>
      </c>
      <c r="G8" s="254"/>
      <c r="I8" s="254"/>
    </row>
    <row r="9" spans="1:21" x14ac:dyDescent="0.25">
      <c r="A9" t="s">
        <v>451</v>
      </c>
    </row>
    <row r="10" spans="1:21" x14ac:dyDescent="0.25">
      <c r="A10" t="s">
        <v>456</v>
      </c>
      <c r="F10" s="44"/>
      <c r="I10" s="44"/>
    </row>
    <row r="11" spans="1:21" x14ac:dyDescent="0.25">
      <c r="A11" t="s">
        <v>452</v>
      </c>
      <c r="F11" s="44"/>
      <c r="I11" s="44"/>
    </row>
    <row r="12" spans="1:21" x14ac:dyDescent="0.25">
      <c r="A12" t="s">
        <v>453</v>
      </c>
      <c r="F12" s="44"/>
      <c r="I12" s="44"/>
    </row>
    <row r="13" spans="1:21" x14ac:dyDescent="0.25">
      <c r="F13" s="44"/>
      <c r="I13" s="44"/>
    </row>
    <row r="14" spans="1:21" x14ac:dyDescent="0.25">
      <c r="A14" s="4" t="s">
        <v>454</v>
      </c>
      <c r="B14" s="462" t="s">
        <v>312</v>
      </c>
      <c r="C14" s="461"/>
      <c r="D14" s="462" t="s">
        <v>311</v>
      </c>
      <c r="E14" s="460"/>
      <c r="F14" s="461" t="s">
        <v>439</v>
      </c>
      <c r="G14" s="463" t="s">
        <v>313</v>
      </c>
      <c r="H14" s="460"/>
      <c r="I14" s="461" t="s">
        <v>439</v>
      </c>
      <c r="J14" s="462" t="s">
        <v>446</v>
      </c>
      <c r="K14" s="66"/>
      <c r="L14" s="461" t="s">
        <v>439</v>
      </c>
      <c r="M14" s="462" t="s">
        <v>447</v>
      </c>
      <c r="N14" s="66"/>
      <c r="O14" s="461" t="s">
        <v>439</v>
      </c>
      <c r="P14" s="462" t="s">
        <v>448</v>
      </c>
      <c r="Q14" s="460"/>
      <c r="R14" s="461" t="s">
        <v>439</v>
      </c>
      <c r="S14" s="462" t="s">
        <v>449</v>
      </c>
      <c r="T14" s="66"/>
      <c r="U14" s="461" t="s">
        <v>439</v>
      </c>
    </row>
    <row r="15" spans="1:21" x14ac:dyDescent="0.25">
      <c r="A15" t="s">
        <v>426</v>
      </c>
      <c r="B15" s="324" t="s">
        <v>427</v>
      </c>
      <c r="C15" s="25"/>
      <c r="D15" s="324" t="s">
        <v>427</v>
      </c>
      <c r="E15" s="1"/>
      <c r="F15" s="25"/>
      <c r="G15" s="324" t="s">
        <v>427</v>
      </c>
      <c r="H15" s="1"/>
      <c r="I15" s="25"/>
      <c r="J15" s="324" t="s">
        <v>427</v>
      </c>
      <c r="K15" s="1"/>
      <c r="L15" s="25"/>
      <c r="M15" s="324" t="s">
        <v>427</v>
      </c>
      <c r="N15" s="1"/>
      <c r="O15" s="25"/>
      <c r="P15" s="324" t="s">
        <v>427</v>
      </c>
      <c r="Q15" s="1"/>
      <c r="R15" s="25"/>
      <c r="S15" s="324" t="s">
        <v>427</v>
      </c>
      <c r="T15" s="1"/>
      <c r="U15" s="25"/>
    </row>
    <row r="16" spans="1:21" x14ac:dyDescent="0.25">
      <c r="A16" t="s">
        <v>428</v>
      </c>
      <c r="B16" s="324">
        <v>102.5</v>
      </c>
      <c r="C16" s="25" t="s">
        <v>429</v>
      </c>
      <c r="D16" s="324">
        <v>84.7</v>
      </c>
      <c r="E16" s="1" t="s">
        <v>429</v>
      </c>
      <c r="F16" s="440">
        <f>(D16-$B16)/$B16</f>
        <v>-0.17365853658536581</v>
      </c>
      <c r="G16" s="324">
        <v>122.8</v>
      </c>
      <c r="H16" s="1" t="s">
        <v>429</v>
      </c>
      <c r="I16" s="440">
        <f>(G16-$B16)/$B16</f>
        <v>0.19804878048780486</v>
      </c>
      <c r="J16" s="324">
        <v>105.6</v>
      </c>
      <c r="K16" s="1" t="s">
        <v>429</v>
      </c>
      <c r="L16" s="440">
        <f>(J16-$B16)/$B16</f>
        <v>3.0243902439024334E-2</v>
      </c>
      <c r="M16" s="324">
        <v>105.8</v>
      </c>
      <c r="N16" s="1" t="s">
        <v>429</v>
      </c>
      <c r="O16" s="440">
        <f>(M16-$B16)/$B16</f>
        <v>3.2195121951219485E-2</v>
      </c>
      <c r="P16" s="324">
        <v>131.9</v>
      </c>
      <c r="Q16" s="1" t="s">
        <v>429</v>
      </c>
      <c r="R16" s="440">
        <f>(P16-$B16)/$B16</f>
        <v>0.28682926829268296</v>
      </c>
      <c r="S16" s="324">
        <v>146.19999999999999</v>
      </c>
      <c r="T16" s="1" t="s">
        <v>429</v>
      </c>
      <c r="U16" s="440">
        <f>(S16-$B16)/$B16</f>
        <v>0.42634146341463403</v>
      </c>
    </row>
    <row r="17" spans="1:21" x14ac:dyDescent="0.25">
      <c r="A17" t="s">
        <v>430</v>
      </c>
      <c r="B17" s="324">
        <v>24.1</v>
      </c>
      <c r="C17" s="25" t="s">
        <v>429</v>
      </c>
      <c r="D17" s="324">
        <v>15.8</v>
      </c>
      <c r="E17" s="1" t="s">
        <v>429</v>
      </c>
      <c r="F17" s="440">
        <f t="shared" ref="F17:F25" si="0">(D17-$B17)/$B17</f>
        <v>-0.34439834024896265</v>
      </c>
      <c r="G17" s="324">
        <v>29.3</v>
      </c>
      <c r="H17" s="1" t="s">
        <v>429</v>
      </c>
      <c r="I17" s="440">
        <f t="shared" ref="I17:I25" si="1">(G17-$B17)/$B17</f>
        <v>0.21576763485477174</v>
      </c>
      <c r="J17" s="324">
        <v>23.1</v>
      </c>
      <c r="K17" s="1" t="s">
        <v>429</v>
      </c>
      <c r="L17" s="440">
        <f t="shared" ref="L17:L25" si="2">(J17-$B17)/$B17</f>
        <v>-4.1493775933609957E-2</v>
      </c>
      <c r="M17" s="324">
        <v>23.4</v>
      </c>
      <c r="N17" s="1" t="s">
        <v>429</v>
      </c>
      <c r="O17" s="440">
        <f t="shared" ref="O17:R25" si="3">(M17-$B17)/$B17</f>
        <v>-2.9045643153527086E-2</v>
      </c>
      <c r="P17" s="324">
        <v>30.4</v>
      </c>
      <c r="Q17" s="1" t="s">
        <v>429</v>
      </c>
      <c r="R17" s="440">
        <f t="shared" si="3"/>
        <v>0.26141078838174259</v>
      </c>
      <c r="S17" s="324">
        <v>40.6</v>
      </c>
      <c r="T17" s="1" t="s">
        <v>429</v>
      </c>
      <c r="U17" s="440">
        <f t="shared" ref="U17:U25" si="4">(S17-$B17)/$B17</f>
        <v>0.68464730290456433</v>
      </c>
    </row>
    <row r="18" spans="1:21" x14ac:dyDescent="0.25">
      <c r="A18" t="s">
        <v>431</v>
      </c>
      <c r="B18" s="324">
        <v>5</v>
      </c>
      <c r="C18" s="25" t="s">
        <v>429</v>
      </c>
      <c r="D18" s="324">
        <v>5</v>
      </c>
      <c r="E18" s="1" t="s">
        <v>429</v>
      </c>
      <c r="F18" s="440">
        <f t="shared" si="0"/>
        <v>0</v>
      </c>
      <c r="G18" s="324">
        <v>5</v>
      </c>
      <c r="H18" s="1" t="s">
        <v>429</v>
      </c>
      <c r="I18" s="440">
        <f t="shared" si="1"/>
        <v>0</v>
      </c>
      <c r="J18" s="324">
        <v>5</v>
      </c>
      <c r="K18" s="1" t="s">
        <v>429</v>
      </c>
      <c r="L18" s="440">
        <f t="shared" si="2"/>
        <v>0</v>
      </c>
      <c r="M18" s="324">
        <v>5</v>
      </c>
      <c r="N18" s="1" t="s">
        <v>429</v>
      </c>
      <c r="O18" s="440">
        <f t="shared" si="3"/>
        <v>0</v>
      </c>
      <c r="P18" s="324">
        <v>5</v>
      </c>
      <c r="Q18" s="1" t="s">
        <v>429</v>
      </c>
      <c r="R18" s="440">
        <f t="shared" si="3"/>
        <v>0</v>
      </c>
      <c r="S18" s="324">
        <v>5</v>
      </c>
      <c r="T18" s="1" t="s">
        <v>429</v>
      </c>
      <c r="U18" s="440">
        <f t="shared" si="4"/>
        <v>0</v>
      </c>
    </row>
    <row r="19" spans="1:21" x14ac:dyDescent="0.25">
      <c r="A19" t="s">
        <v>432</v>
      </c>
      <c r="B19" s="324">
        <v>26.1</v>
      </c>
      <c r="C19" s="25" t="s">
        <v>429</v>
      </c>
      <c r="D19" s="324">
        <v>26.1</v>
      </c>
      <c r="E19" s="1" t="s">
        <v>429</v>
      </c>
      <c r="F19" s="440">
        <f t="shared" si="0"/>
        <v>0</v>
      </c>
      <c r="G19" s="324">
        <v>26.1</v>
      </c>
      <c r="H19" s="1" t="s">
        <v>429</v>
      </c>
      <c r="I19" s="440">
        <f t="shared" si="1"/>
        <v>0</v>
      </c>
      <c r="J19" s="324">
        <v>26.1</v>
      </c>
      <c r="K19" s="1" t="s">
        <v>429</v>
      </c>
      <c r="L19" s="440">
        <f t="shared" si="2"/>
        <v>0</v>
      </c>
      <c r="M19" s="324">
        <v>26.1</v>
      </c>
      <c r="N19" s="1" t="s">
        <v>429</v>
      </c>
      <c r="O19" s="440">
        <f t="shared" si="3"/>
        <v>0</v>
      </c>
      <c r="P19" s="324">
        <v>26.1</v>
      </c>
      <c r="Q19" s="1" t="s">
        <v>429</v>
      </c>
      <c r="R19" s="440">
        <f t="shared" si="3"/>
        <v>0</v>
      </c>
      <c r="S19" s="324">
        <v>26.1</v>
      </c>
      <c r="T19" s="1" t="s">
        <v>429</v>
      </c>
      <c r="U19" s="440">
        <f t="shared" si="4"/>
        <v>0</v>
      </c>
    </row>
    <row r="20" spans="1:21" x14ac:dyDescent="0.25">
      <c r="A20" t="s">
        <v>433</v>
      </c>
      <c r="B20" s="324">
        <v>3.3</v>
      </c>
      <c r="C20" s="25" t="s">
        <v>429</v>
      </c>
      <c r="D20" s="324">
        <v>2.1</v>
      </c>
      <c r="E20" s="1" t="s">
        <v>429</v>
      </c>
      <c r="F20" s="440">
        <f t="shared" si="0"/>
        <v>-0.36363636363636359</v>
      </c>
      <c r="G20" s="324">
        <v>2.4</v>
      </c>
      <c r="H20" s="1" t="s">
        <v>429</v>
      </c>
      <c r="I20" s="440">
        <f t="shared" si="1"/>
        <v>-0.27272727272727271</v>
      </c>
      <c r="J20" s="324">
        <v>1.9</v>
      </c>
      <c r="K20" s="1" t="s">
        <v>429</v>
      </c>
      <c r="L20" s="440">
        <f t="shared" si="2"/>
        <v>-0.42424242424242425</v>
      </c>
      <c r="M20" s="324">
        <v>2.2999999999999998</v>
      </c>
      <c r="N20" s="1" t="s">
        <v>429</v>
      </c>
      <c r="O20" s="440">
        <f t="shared" si="3"/>
        <v>-0.30303030303030304</v>
      </c>
      <c r="P20" s="324">
        <v>1.3</v>
      </c>
      <c r="Q20" s="1" t="s">
        <v>429</v>
      </c>
      <c r="R20" s="440">
        <f t="shared" si="3"/>
        <v>-0.60606060606060608</v>
      </c>
      <c r="S20" s="324">
        <v>3.1</v>
      </c>
      <c r="T20" s="1" t="s">
        <v>429</v>
      </c>
      <c r="U20" s="440">
        <f t="shared" si="4"/>
        <v>-6.0606060606060531E-2</v>
      </c>
    </row>
    <row r="21" spans="1:21" x14ac:dyDescent="0.25">
      <c r="A21" t="s">
        <v>434</v>
      </c>
      <c r="B21" s="324">
        <v>25.1</v>
      </c>
      <c r="C21" s="25" t="s">
        <v>429</v>
      </c>
      <c r="D21" s="324">
        <v>25.1</v>
      </c>
      <c r="E21" s="1" t="s">
        <v>429</v>
      </c>
      <c r="F21" s="440">
        <f t="shared" si="0"/>
        <v>0</v>
      </c>
      <c r="G21" s="324">
        <v>25.1</v>
      </c>
      <c r="H21" s="1" t="s">
        <v>429</v>
      </c>
      <c r="I21" s="440">
        <f t="shared" si="1"/>
        <v>0</v>
      </c>
      <c r="J21" s="324">
        <v>25.1</v>
      </c>
      <c r="K21" s="1" t="s">
        <v>429</v>
      </c>
      <c r="L21" s="440">
        <f t="shared" si="2"/>
        <v>0</v>
      </c>
      <c r="M21" s="324">
        <v>25.1</v>
      </c>
      <c r="N21" s="1" t="s">
        <v>429</v>
      </c>
      <c r="O21" s="440">
        <f t="shared" si="3"/>
        <v>0</v>
      </c>
      <c r="P21" s="324">
        <v>25.1</v>
      </c>
      <c r="Q21" s="1" t="s">
        <v>429</v>
      </c>
      <c r="R21" s="440">
        <f t="shared" si="3"/>
        <v>0</v>
      </c>
      <c r="S21" s="324">
        <v>25.1</v>
      </c>
      <c r="T21" s="1" t="s">
        <v>429</v>
      </c>
      <c r="U21" s="440">
        <f t="shared" si="4"/>
        <v>0</v>
      </c>
    </row>
    <row r="22" spans="1:21" x14ac:dyDescent="0.25">
      <c r="A22" t="s">
        <v>435</v>
      </c>
      <c r="B22" s="324">
        <v>34.5</v>
      </c>
      <c r="C22" s="25" t="s">
        <v>429</v>
      </c>
      <c r="D22" s="324">
        <v>34.5</v>
      </c>
      <c r="E22" s="1" t="s">
        <v>429</v>
      </c>
      <c r="F22" s="440">
        <f t="shared" si="0"/>
        <v>0</v>
      </c>
      <c r="G22" s="324">
        <v>34.5</v>
      </c>
      <c r="H22" s="1" t="s">
        <v>429</v>
      </c>
      <c r="I22" s="440">
        <f t="shared" si="1"/>
        <v>0</v>
      </c>
      <c r="J22" s="324">
        <v>34.5</v>
      </c>
      <c r="K22" s="1" t="s">
        <v>429</v>
      </c>
      <c r="L22" s="440">
        <f t="shared" si="2"/>
        <v>0</v>
      </c>
      <c r="M22" s="324">
        <v>34.5</v>
      </c>
      <c r="N22" s="1" t="s">
        <v>429</v>
      </c>
      <c r="O22" s="440">
        <f t="shared" si="3"/>
        <v>0</v>
      </c>
      <c r="P22" s="324">
        <v>34.5</v>
      </c>
      <c r="Q22" s="1" t="s">
        <v>429</v>
      </c>
      <c r="R22" s="440">
        <f t="shared" si="3"/>
        <v>0</v>
      </c>
      <c r="S22" s="324">
        <v>34.5</v>
      </c>
      <c r="T22" s="1" t="s">
        <v>429</v>
      </c>
      <c r="U22" s="440">
        <f t="shared" si="4"/>
        <v>0</v>
      </c>
    </row>
    <row r="23" spans="1:21" x14ac:dyDescent="0.25">
      <c r="A23" t="s">
        <v>436</v>
      </c>
      <c r="B23" s="324">
        <v>0</v>
      </c>
      <c r="C23" s="25" t="s">
        <v>429</v>
      </c>
      <c r="D23" s="324">
        <v>0</v>
      </c>
      <c r="E23" s="1" t="s">
        <v>429</v>
      </c>
      <c r="F23" s="440" t="e">
        <f t="shared" si="0"/>
        <v>#DIV/0!</v>
      </c>
      <c r="G23" s="324">
        <v>0</v>
      </c>
      <c r="H23" s="1" t="s">
        <v>429</v>
      </c>
      <c r="I23" s="440" t="e">
        <f t="shared" si="1"/>
        <v>#DIV/0!</v>
      </c>
      <c r="J23" s="324">
        <v>0</v>
      </c>
      <c r="K23" s="1" t="s">
        <v>429</v>
      </c>
      <c r="L23" s="440" t="e">
        <f t="shared" si="2"/>
        <v>#DIV/0!</v>
      </c>
      <c r="M23" s="324">
        <v>0</v>
      </c>
      <c r="N23" s="1" t="s">
        <v>429</v>
      </c>
      <c r="O23" s="440" t="e">
        <f t="shared" si="3"/>
        <v>#DIV/0!</v>
      </c>
      <c r="P23" s="324">
        <v>0</v>
      </c>
      <c r="Q23" s="1" t="s">
        <v>429</v>
      </c>
      <c r="R23" s="440" t="e">
        <f t="shared" si="3"/>
        <v>#DIV/0!</v>
      </c>
      <c r="S23" s="324">
        <v>0</v>
      </c>
      <c r="T23" s="1" t="s">
        <v>429</v>
      </c>
      <c r="U23" s="440" t="e">
        <f t="shared" si="4"/>
        <v>#DIV/0!</v>
      </c>
    </row>
    <row r="24" spans="1:21" x14ac:dyDescent="0.25">
      <c r="A24" t="s">
        <v>437</v>
      </c>
      <c r="B24" s="324">
        <v>15.7</v>
      </c>
      <c r="C24" s="25" t="s">
        <v>429</v>
      </c>
      <c r="D24" s="324">
        <v>5.6</v>
      </c>
      <c r="E24" s="1" t="s">
        <v>429</v>
      </c>
      <c r="F24" s="440">
        <f t="shared" si="0"/>
        <v>-0.64331210191082799</v>
      </c>
      <c r="G24" s="324">
        <v>3.2</v>
      </c>
      <c r="H24" s="1" t="s">
        <v>429</v>
      </c>
      <c r="I24" s="440">
        <f t="shared" si="1"/>
        <v>-0.79617834394904463</v>
      </c>
      <c r="J24" s="324">
        <v>3.2</v>
      </c>
      <c r="K24" s="1" t="s">
        <v>429</v>
      </c>
      <c r="L24" s="440">
        <f t="shared" si="2"/>
        <v>-0.79617834394904463</v>
      </c>
      <c r="M24" s="324">
        <v>4.7</v>
      </c>
      <c r="N24" s="1" t="s">
        <v>429</v>
      </c>
      <c r="O24" s="440">
        <f t="shared" si="3"/>
        <v>-0.7006369426751593</v>
      </c>
      <c r="P24" s="324">
        <v>0.9</v>
      </c>
      <c r="Q24" s="1" t="s">
        <v>429</v>
      </c>
      <c r="R24" s="440">
        <f t="shared" si="3"/>
        <v>-0.9426751592356688</v>
      </c>
      <c r="S24" s="324">
        <v>4.4000000000000004</v>
      </c>
      <c r="T24" s="1" t="s">
        <v>429</v>
      </c>
      <c r="U24" s="440">
        <f t="shared" si="4"/>
        <v>-0.71974522292993626</v>
      </c>
    </row>
    <row r="25" spans="1:21" x14ac:dyDescent="0.25">
      <c r="A25" t="s">
        <v>438</v>
      </c>
      <c r="B25" s="325">
        <v>236.1</v>
      </c>
      <c r="C25" s="27" t="s">
        <v>429</v>
      </c>
      <c r="D25" s="325">
        <v>198.8</v>
      </c>
      <c r="E25" s="71" t="s">
        <v>429</v>
      </c>
      <c r="F25" s="442">
        <f t="shared" si="0"/>
        <v>-0.15798390512494698</v>
      </c>
      <c r="G25" s="325">
        <v>248.3</v>
      </c>
      <c r="H25" s="71" t="s">
        <v>429</v>
      </c>
      <c r="I25" s="442">
        <f t="shared" si="1"/>
        <v>5.1673019906819218E-2</v>
      </c>
      <c r="J25" s="325">
        <v>224.3</v>
      </c>
      <c r="K25" s="71" t="s">
        <v>429</v>
      </c>
      <c r="L25" s="442">
        <f t="shared" si="2"/>
        <v>-4.9978822532825005E-2</v>
      </c>
      <c r="M25" s="325">
        <v>226.8</v>
      </c>
      <c r="N25" s="71" t="s">
        <v>429</v>
      </c>
      <c r="O25" s="442">
        <f t="shared" si="3"/>
        <v>-3.9390088945362063E-2</v>
      </c>
      <c r="P25" s="325">
        <v>255</v>
      </c>
      <c r="Q25" s="71" t="s">
        <v>429</v>
      </c>
      <c r="R25" s="442">
        <f t="shared" si="3"/>
        <v>8.0050825921219843E-2</v>
      </c>
      <c r="S25" s="325">
        <v>284.89999999999998</v>
      </c>
      <c r="T25" s="71" t="s">
        <v>429</v>
      </c>
      <c r="U25" s="442">
        <f t="shared" si="4"/>
        <v>0.20669207962727651</v>
      </c>
    </row>
    <row r="28" spans="1:21" s="4" customFormat="1" x14ac:dyDescent="0.25">
      <c r="A28" s="4" t="s">
        <v>455</v>
      </c>
      <c r="B28" s="462" t="s">
        <v>312</v>
      </c>
      <c r="C28" s="461"/>
      <c r="D28" s="462" t="s">
        <v>311</v>
      </c>
      <c r="E28" s="460"/>
      <c r="F28" s="461" t="s">
        <v>439</v>
      </c>
      <c r="G28" s="463" t="s">
        <v>313</v>
      </c>
      <c r="H28" s="460"/>
      <c r="I28" s="461" t="s">
        <v>439</v>
      </c>
    </row>
    <row r="29" spans="1:21" x14ac:dyDescent="0.25">
      <c r="A29" t="s">
        <v>426</v>
      </c>
      <c r="B29" s="324" t="s">
        <v>427</v>
      </c>
      <c r="C29" s="25"/>
      <c r="D29" s="324" t="s">
        <v>427</v>
      </c>
      <c r="E29" s="1"/>
      <c r="F29" s="25"/>
      <c r="G29" s="324" t="s">
        <v>427</v>
      </c>
      <c r="H29" s="1"/>
      <c r="I29" s="25"/>
    </row>
    <row r="30" spans="1:21" x14ac:dyDescent="0.25">
      <c r="A30" t="s">
        <v>428</v>
      </c>
      <c r="B30" s="324">
        <v>180.4</v>
      </c>
      <c r="C30" s="25" t="s">
        <v>429</v>
      </c>
      <c r="D30" s="324">
        <v>159.69999999999999</v>
      </c>
      <c r="E30" s="1" t="s">
        <v>429</v>
      </c>
      <c r="F30" s="440">
        <f t="shared" ref="F30:F39" si="5">(D30-$B30)/$B30</f>
        <v>-0.11474501108647459</v>
      </c>
      <c r="G30" s="324">
        <v>217.2</v>
      </c>
      <c r="H30" s="1" t="s">
        <v>429</v>
      </c>
      <c r="I30" s="440">
        <f t="shared" ref="I30:I39" si="6">(G30-$B30)/$B30</f>
        <v>0.20399113082039902</v>
      </c>
    </row>
    <row r="31" spans="1:21" x14ac:dyDescent="0.25">
      <c r="A31" t="s">
        <v>430</v>
      </c>
      <c r="B31" s="324">
        <v>0</v>
      </c>
      <c r="C31" s="25" t="s">
        <v>429</v>
      </c>
      <c r="D31" s="324">
        <v>0</v>
      </c>
      <c r="E31" s="1" t="s">
        <v>429</v>
      </c>
      <c r="F31" s="440" t="e">
        <f t="shared" si="5"/>
        <v>#DIV/0!</v>
      </c>
      <c r="G31" s="324">
        <v>0</v>
      </c>
      <c r="H31" s="1" t="s">
        <v>429</v>
      </c>
      <c r="I31" s="440" t="e">
        <f t="shared" si="6"/>
        <v>#DIV/0!</v>
      </c>
    </row>
    <row r="32" spans="1:21" x14ac:dyDescent="0.25">
      <c r="A32" t="s">
        <v>431</v>
      </c>
      <c r="B32" s="324">
        <v>29.8</v>
      </c>
      <c r="C32" s="25" t="s">
        <v>429</v>
      </c>
      <c r="D32" s="324">
        <v>29.8</v>
      </c>
      <c r="E32" s="1" t="s">
        <v>429</v>
      </c>
      <c r="F32" s="440">
        <f t="shared" si="5"/>
        <v>0</v>
      </c>
      <c r="G32" s="324">
        <v>29.8</v>
      </c>
      <c r="H32" s="1" t="s">
        <v>429</v>
      </c>
      <c r="I32" s="440">
        <f t="shared" si="6"/>
        <v>0</v>
      </c>
    </row>
    <row r="33" spans="1:9" x14ac:dyDescent="0.25">
      <c r="A33" t="s">
        <v>432</v>
      </c>
      <c r="B33" s="324">
        <v>0</v>
      </c>
      <c r="C33" s="25" t="s">
        <v>429</v>
      </c>
      <c r="D33" s="324">
        <v>0</v>
      </c>
      <c r="E33" s="1" t="s">
        <v>429</v>
      </c>
      <c r="F33" s="440" t="e">
        <f t="shared" si="5"/>
        <v>#DIV/0!</v>
      </c>
      <c r="G33" s="324">
        <v>0</v>
      </c>
      <c r="H33" s="1" t="s">
        <v>429</v>
      </c>
      <c r="I33" s="440" t="e">
        <f t="shared" si="6"/>
        <v>#DIV/0!</v>
      </c>
    </row>
    <row r="34" spans="1:9" x14ac:dyDescent="0.25">
      <c r="A34" t="s">
        <v>433</v>
      </c>
      <c r="B34" s="324">
        <v>1.2</v>
      </c>
      <c r="C34" s="25" t="s">
        <v>429</v>
      </c>
      <c r="D34" s="324">
        <v>0.7</v>
      </c>
      <c r="E34" s="1" t="s">
        <v>429</v>
      </c>
      <c r="F34" s="440">
        <f t="shared" si="5"/>
        <v>-0.41666666666666669</v>
      </c>
      <c r="G34" s="324">
        <v>0.9</v>
      </c>
      <c r="H34" s="1" t="s">
        <v>429</v>
      </c>
      <c r="I34" s="440">
        <f t="shared" si="6"/>
        <v>-0.24999999999999994</v>
      </c>
    </row>
    <row r="35" spans="1:9" x14ac:dyDescent="0.25">
      <c r="A35" t="s">
        <v>434</v>
      </c>
      <c r="B35" s="324">
        <v>11.4</v>
      </c>
      <c r="C35" s="25" t="s">
        <v>429</v>
      </c>
      <c r="D35" s="324">
        <v>11.4</v>
      </c>
      <c r="E35" s="1" t="s">
        <v>429</v>
      </c>
      <c r="F35" s="440">
        <f t="shared" si="5"/>
        <v>0</v>
      </c>
      <c r="G35" s="324">
        <v>11.4</v>
      </c>
      <c r="H35" s="1" t="s">
        <v>429</v>
      </c>
      <c r="I35" s="440">
        <f t="shared" si="6"/>
        <v>0</v>
      </c>
    </row>
    <row r="36" spans="1:9" x14ac:dyDescent="0.25">
      <c r="A36" t="s">
        <v>435</v>
      </c>
      <c r="B36" s="324">
        <v>17.5</v>
      </c>
      <c r="C36" s="25" t="s">
        <v>429</v>
      </c>
      <c r="D36" s="324">
        <v>17.5</v>
      </c>
      <c r="E36" s="1" t="s">
        <v>429</v>
      </c>
      <c r="F36" s="440">
        <f t="shared" si="5"/>
        <v>0</v>
      </c>
      <c r="G36" s="324">
        <v>17.5</v>
      </c>
      <c r="H36" s="1" t="s">
        <v>429</v>
      </c>
      <c r="I36" s="440">
        <f t="shared" si="6"/>
        <v>0</v>
      </c>
    </row>
    <row r="37" spans="1:9" x14ac:dyDescent="0.25">
      <c r="A37" t="s">
        <v>436</v>
      </c>
      <c r="B37" s="324">
        <v>0</v>
      </c>
      <c r="C37" s="25" t="s">
        <v>429</v>
      </c>
      <c r="D37" s="324">
        <v>0</v>
      </c>
      <c r="E37" s="1" t="s">
        <v>429</v>
      </c>
      <c r="F37" s="440" t="e">
        <f t="shared" si="5"/>
        <v>#DIV/0!</v>
      </c>
      <c r="G37" s="324">
        <v>0</v>
      </c>
      <c r="H37" s="1" t="s">
        <v>429</v>
      </c>
      <c r="I37" s="440" t="e">
        <f t="shared" si="6"/>
        <v>#DIV/0!</v>
      </c>
    </row>
    <row r="38" spans="1:9" x14ac:dyDescent="0.25">
      <c r="A38" t="s">
        <v>437</v>
      </c>
      <c r="B38" s="324">
        <v>0</v>
      </c>
      <c r="C38" s="25" t="s">
        <v>429</v>
      </c>
      <c r="D38" s="324">
        <v>0</v>
      </c>
      <c r="E38" s="1" t="s">
        <v>429</v>
      </c>
      <c r="F38" s="440" t="e">
        <f t="shared" si="5"/>
        <v>#DIV/0!</v>
      </c>
      <c r="G38" s="324">
        <v>0</v>
      </c>
      <c r="H38" s="1" t="s">
        <v>429</v>
      </c>
      <c r="I38" s="440" t="e">
        <f t="shared" si="6"/>
        <v>#DIV/0!</v>
      </c>
    </row>
    <row r="39" spans="1:9" x14ac:dyDescent="0.25">
      <c r="A39" t="s">
        <v>438</v>
      </c>
      <c r="B39" s="325">
        <v>240.2</v>
      </c>
      <c r="C39" s="27" t="s">
        <v>429</v>
      </c>
      <c r="D39" s="325">
        <v>219.1</v>
      </c>
      <c r="E39" s="71" t="s">
        <v>429</v>
      </c>
      <c r="F39" s="442">
        <f t="shared" si="5"/>
        <v>-8.7843463780183165E-2</v>
      </c>
      <c r="G39" s="325">
        <v>276.89999999999998</v>
      </c>
      <c r="H39" s="71" t="s">
        <v>429</v>
      </c>
      <c r="I39" s="442">
        <f t="shared" si="6"/>
        <v>0.15278934221482093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5"/>
  <sheetViews>
    <sheetView topLeftCell="A94" zoomScale="90" zoomScaleNormal="90" workbookViewId="0">
      <selection activeCell="F83" sqref="F83"/>
    </sheetView>
  </sheetViews>
  <sheetFormatPr baseColWidth="10" defaultColWidth="8.85546875" defaultRowHeight="15" x14ac:dyDescent="0.25"/>
  <cols>
    <col min="1" max="1" width="41.28515625" style="391" customWidth="1"/>
    <col min="2" max="2" width="11.7109375" style="391" bestFit="1" customWidth="1"/>
    <col min="3" max="3" width="11.140625" style="391" bestFit="1" customWidth="1"/>
    <col min="4" max="4" width="9.85546875" style="391" bestFit="1" customWidth="1"/>
    <col min="5" max="13" width="13.42578125" style="391" customWidth="1"/>
    <col min="14" max="16384" width="8.85546875" style="391"/>
  </cols>
  <sheetData>
    <row r="1" spans="1:13" s="388" customFormat="1" x14ac:dyDescent="0.25">
      <c r="A1" s="388" t="s">
        <v>420</v>
      </c>
    </row>
    <row r="4" spans="1:13" x14ac:dyDescent="0.25">
      <c r="A4" s="389" t="s">
        <v>423</v>
      </c>
      <c r="B4" s="390" t="str">
        <f>'3 Byggeår'!D119</f>
        <v>Småhus</v>
      </c>
      <c r="C4" s="390" t="str">
        <f>'3 Byggeår'!E119</f>
        <v>Boligblokk</v>
      </c>
      <c r="D4" s="390" t="str">
        <f>'3 Byggeår'!G119</f>
        <v>Barnehage</v>
      </c>
      <c r="E4" s="390" t="str">
        <f>'3 Byggeår'!H119</f>
        <v>Kontorbygning</v>
      </c>
      <c r="F4" s="390" t="str">
        <f>'3 Byggeår'!I119</f>
        <v>Skolebygning</v>
      </c>
      <c r="G4" s="390" t="str">
        <f>'3 Byggeår'!J119</f>
        <v>Universitets- og høgskolebygning</v>
      </c>
      <c r="H4" s="390" t="str">
        <f>'3 Byggeår'!K119</f>
        <v>Sykehus</v>
      </c>
      <c r="I4" s="390" t="str">
        <f>'3 Byggeår'!L119</f>
        <v>Sykehjem</v>
      </c>
      <c r="J4" s="390" t="str">
        <f>'3 Byggeår'!M119</f>
        <v>Hotellbygning</v>
      </c>
      <c r="K4" s="390" t="str">
        <f>'3 Byggeår'!N119</f>
        <v>Idrettsbygning</v>
      </c>
      <c r="L4" s="390" t="str">
        <f>'3 Byggeår'!O119</f>
        <v>Forretningsbygning</v>
      </c>
      <c r="M4" s="390" t="str">
        <f>'3 Byggeår'!P119</f>
        <v>Kulturbygning</v>
      </c>
    </row>
    <row r="5" spans="1:13" s="390" customFormat="1" ht="12.75" x14ac:dyDescent="0.2">
      <c r="A5" s="390" t="str">
        <f>'3 Byggeår'!A119</f>
        <v>Energitiltak</v>
      </c>
    </row>
    <row r="6" spans="1:13" s="204" customFormat="1" x14ac:dyDescent="0.25">
      <c r="A6" s="388" t="s">
        <v>475</v>
      </c>
    </row>
    <row r="7" spans="1:13" s="204" customFormat="1" ht="12.75" x14ac:dyDescent="0.2">
      <c r="A7" s="204" t="str">
        <f>'3 Byggeår'!A121</f>
        <v xml:space="preserve">Begrensning glass/vindu/dørareal </v>
      </c>
      <c r="B7" s="204">
        <f>'3 Byggeår'!D121</f>
        <v>0.2</v>
      </c>
      <c r="C7" s="204">
        <f>'3 Byggeår'!E121</f>
        <v>0.2</v>
      </c>
      <c r="D7" s="204">
        <f>'3 Byggeår'!G121</f>
        <v>0.2</v>
      </c>
      <c r="E7" s="204">
        <f>'3 Byggeår'!H121</f>
        <v>0.2</v>
      </c>
      <c r="F7" s="204">
        <f>'3 Byggeår'!I121</f>
        <v>0.2</v>
      </c>
      <c r="G7" s="204">
        <f>'3 Byggeår'!J121</f>
        <v>0.2</v>
      </c>
      <c r="H7" s="204">
        <f>'3 Byggeår'!K121</f>
        <v>0.2</v>
      </c>
      <c r="I7" s="204">
        <f>'3 Byggeår'!L121</f>
        <v>0.2</v>
      </c>
      <c r="J7" s="204">
        <f>'3 Byggeår'!M121</f>
        <v>0.2</v>
      </c>
      <c r="K7" s="204">
        <f>'3 Byggeår'!N121</f>
        <v>0.2</v>
      </c>
      <c r="L7" s="204">
        <f>'3 Byggeår'!O121</f>
        <v>0.2</v>
      </c>
      <c r="M7" s="204">
        <f>'3 Byggeår'!P121</f>
        <v>0.2</v>
      </c>
    </row>
    <row r="8" spans="1:13" s="204" customFormat="1" ht="12.75" x14ac:dyDescent="0.2">
      <c r="A8" s="204" t="str">
        <f>'3 Byggeår'!A122</f>
        <v>U-verdi yttervegg [W/m2K]</v>
      </c>
      <c r="B8" s="204">
        <f>'3 Byggeår'!D122</f>
        <v>0.3</v>
      </c>
      <c r="C8" s="204">
        <f>'3 Byggeår'!E122</f>
        <v>0.3</v>
      </c>
      <c r="D8" s="204">
        <f>'3 Byggeår'!G122</f>
        <v>0.3</v>
      </c>
      <c r="E8" s="204">
        <f>'3 Byggeår'!H122</f>
        <v>0.3</v>
      </c>
      <c r="F8" s="204">
        <f>'3 Byggeår'!I122</f>
        <v>0.3</v>
      </c>
      <c r="G8" s="204">
        <f>'3 Byggeår'!J122</f>
        <v>0.3</v>
      </c>
      <c r="H8" s="204">
        <f>'3 Byggeår'!K122</f>
        <v>0.3</v>
      </c>
      <c r="I8" s="204">
        <f>'3 Byggeår'!L122</f>
        <v>0.3</v>
      </c>
      <c r="J8" s="204">
        <f>'3 Byggeår'!M122</f>
        <v>0.3</v>
      </c>
      <c r="K8" s="204">
        <f>'3 Byggeår'!N122</f>
        <v>0.3</v>
      </c>
      <c r="L8" s="204">
        <f>'3 Byggeår'!O122</f>
        <v>0.3</v>
      </c>
      <c r="M8" s="204">
        <f>'3 Byggeår'!P122</f>
        <v>0.3</v>
      </c>
    </row>
    <row r="9" spans="1:13" s="204" customFormat="1" ht="12.75" x14ac:dyDescent="0.2">
      <c r="A9" s="204" t="str">
        <f>'3 Byggeår'!A123</f>
        <v>U-verdi gulv [W/m2K]</v>
      </c>
      <c r="B9" s="204">
        <f>'3 Byggeår'!D123</f>
        <v>0.25</v>
      </c>
      <c r="C9" s="204">
        <f>'3 Byggeår'!E123</f>
        <v>0.2</v>
      </c>
      <c r="D9" s="204">
        <f>'3 Byggeår'!G123</f>
        <v>0.3</v>
      </c>
      <c r="E9" s="204">
        <f>'3 Byggeår'!H123</f>
        <v>0.3</v>
      </c>
      <c r="F9" s="204">
        <f>'3 Byggeår'!I123</f>
        <v>0.3</v>
      </c>
      <c r="G9" s="204">
        <f>'3 Byggeår'!J123</f>
        <v>0.3</v>
      </c>
      <c r="H9" s="204">
        <f>'3 Byggeår'!K123</f>
        <v>0.3</v>
      </c>
      <c r="I9" s="204">
        <f>'3 Byggeår'!L123</f>
        <v>0.3</v>
      </c>
      <c r="J9" s="204">
        <f>'3 Byggeår'!M123</f>
        <v>0.3</v>
      </c>
      <c r="K9" s="204">
        <f>'3 Byggeår'!N123</f>
        <v>0.3</v>
      </c>
      <c r="L9" s="204">
        <f>'3 Byggeår'!O123</f>
        <v>0.3</v>
      </c>
      <c r="M9" s="204">
        <f>'3 Byggeår'!P123</f>
        <v>0.3</v>
      </c>
    </row>
    <row r="10" spans="1:13" s="204" customFormat="1" ht="12.75" x14ac:dyDescent="0.2">
      <c r="A10" s="204" t="str">
        <f>'3 Byggeår'!A124</f>
        <v>U-verdi tak [W/m2K]</v>
      </c>
      <c r="B10" s="204">
        <f>'3 Byggeår'!D124</f>
        <v>0.18</v>
      </c>
      <c r="C10" s="204">
        <f>'3 Byggeår'!E124</f>
        <v>0.2</v>
      </c>
      <c r="D10" s="204">
        <f>'3 Byggeår'!G124</f>
        <v>0.2</v>
      </c>
      <c r="E10" s="204">
        <f>'3 Byggeår'!H124</f>
        <v>0.2</v>
      </c>
      <c r="F10" s="204">
        <f>'3 Byggeår'!I124</f>
        <v>0.2</v>
      </c>
      <c r="G10" s="204">
        <f>'3 Byggeår'!J124</f>
        <v>0.2</v>
      </c>
      <c r="H10" s="204">
        <f>'3 Byggeår'!K124</f>
        <v>0.2</v>
      </c>
      <c r="I10" s="204">
        <f>'3 Byggeår'!L124</f>
        <v>0.2</v>
      </c>
      <c r="J10" s="204">
        <f>'3 Byggeår'!M124</f>
        <v>0.2</v>
      </c>
      <c r="K10" s="204">
        <f>'3 Byggeår'!N124</f>
        <v>0.2</v>
      </c>
      <c r="L10" s="204">
        <f>'3 Byggeår'!O124</f>
        <v>0.2</v>
      </c>
      <c r="M10" s="204">
        <f>'3 Byggeår'!P124</f>
        <v>0.2</v>
      </c>
    </row>
    <row r="11" spans="1:13" s="204" customFormat="1" ht="12.75" x14ac:dyDescent="0.2">
      <c r="A11" s="204" t="str">
        <f>'3 Byggeår'!A125</f>
        <v>U-verdi vinduer/ dører [W/m2K]</v>
      </c>
      <c r="B11" s="204">
        <f>'3 Byggeår'!D125</f>
        <v>2.4</v>
      </c>
      <c r="C11" s="204">
        <f>'3 Byggeår'!E125</f>
        <v>2.4</v>
      </c>
      <c r="D11" s="204">
        <f>'3 Byggeår'!G125</f>
        <v>2.4</v>
      </c>
      <c r="E11" s="204">
        <f>'3 Byggeår'!H125</f>
        <v>2.4</v>
      </c>
      <c r="F11" s="204">
        <f>'3 Byggeår'!I125</f>
        <v>2.4</v>
      </c>
      <c r="G11" s="204">
        <f>'3 Byggeår'!J125</f>
        <v>2.4</v>
      </c>
      <c r="H11" s="204">
        <f>'3 Byggeår'!K125</f>
        <v>2.4</v>
      </c>
      <c r="I11" s="204">
        <f>'3 Byggeår'!L125</f>
        <v>2.4</v>
      </c>
      <c r="J11" s="204">
        <f>'3 Byggeår'!M125</f>
        <v>2.4</v>
      </c>
      <c r="K11" s="204">
        <f>'3 Byggeår'!N125</f>
        <v>2.4</v>
      </c>
      <c r="L11" s="204">
        <f>'3 Byggeår'!O125</f>
        <v>2.4</v>
      </c>
      <c r="M11" s="204">
        <f>'3 Byggeår'!P125</f>
        <v>2.4</v>
      </c>
    </row>
    <row r="12" spans="1:13" s="204" customFormat="1" ht="12.75" x14ac:dyDescent="0.2">
      <c r="A12" s="204" t="str">
        <f>'3 Byggeår'!A126</f>
        <v>Normalisert kuldebroverdi [W/m2,K]</v>
      </c>
      <c r="B12" s="204">
        <f>'3 Byggeår'!D126</f>
        <v>0.05</v>
      </c>
      <c r="C12" s="204">
        <f>'3 Byggeår'!E126</f>
        <v>0.12</v>
      </c>
      <c r="D12" s="204">
        <f>'3 Byggeår'!G126</f>
        <v>0.05</v>
      </c>
      <c r="E12" s="204">
        <f>'3 Byggeår'!H126</f>
        <v>0.12</v>
      </c>
      <c r="F12" s="204">
        <f>'3 Byggeår'!I126</f>
        <v>0.12</v>
      </c>
      <c r="G12" s="204">
        <f>'3 Byggeår'!J126</f>
        <v>0.12</v>
      </c>
      <c r="H12" s="204">
        <f>'3 Byggeår'!K126</f>
        <v>0.12</v>
      </c>
      <c r="I12" s="204">
        <f>'3 Byggeår'!L126</f>
        <v>0.05</v>
      </c>
      <c r="J12" s="204">
        <f>'3 Byggeår'!M126</f>
        <v>0.12</v>
      </c>
      <c r="K12" s="204">
        <f>'3 Byggeår'!N126</f>
        <v>0.12</v>
      </c>
      <c r="L12" s="204">
        <f>'3 Byggeår'!O126</f>
        <v>0.12</v>
      </c>
      <c r="M12" s="204">
        <f>'3 Byggeår'!P126</f>
        <v>0.12</v>
      </c>
    </row>
    <row r="13" spans="1:13" s="204" customFormat="1" ht="12.75" x14ac:dyDescent="0.2">
      <c r="A13" s="204" t="str">
        <f>'3 Byggeår'!A127</f>
        <v>Lufttetthet, lekkasjetall N50 [1/h]</v>
      </c>
      <c r="B13" s="204">
        <f>'3 Byggeår'!D127</f>
        <v>4</v>
      </c>
      <c r="C13" s="204">
        <f>'3 Byggeår'!E127</f>
        <v>1.5</v>
      </c>
      <c r="D13" s="204">
        <f>'3 Byggeår'!G127</f>
        <v>3</v>
      </c>
      <c r="E13" s="204">
        <f>'3 Byggeår'!H127</f>
        <v>1.5</v>
      </c>
      <c r="F13" s="204">
        <f>'3 Byggeår'!I127</f>
        <v>3</v>
      </c>
      <c r="G13" s="204">
        <f>'3 Byggeår'!J127</f>
        <v>1.5</v>
      </c>
      <c r="H13" s="168">
        <f>'3 Byggeår'!K127</f>
        <v>1.5</v>
      </c>
      <c r="I13" s="168">
        <f>'3 Byggeår'!L127</f>
        <v>3</v>
      </c>
      <c r="J13" s="204">
        <f>'3 Byggeår'!M127</f>
        <v>3</v>
      </c>
      <c r="K13" s="204">
        <f>'3 Byggeår'!N127</f>
        <v>3</v>
      </c>
      <c r="L13" s="204">
        <f>'3 Byggeår'!O127</f>
        <v>1.5</v>
      </c>
      <c r="M13" s="204">
        <f>'3 Byggeår'!P127</f>
        <v>3</v>
      </c>
    </row>
    <row r="14" spans="1:13" s="204" customFormat="1" ht="12.75" x14ac:dyDescent="0.2">
      <c r="A14" s="204" t="str">
        <f>'3 Byggeår'!A128</f>
        <v>Ventilasjonsluftmengder [m3/(hm2)]</v>
      </c>
      <c r="B14" s="392" t="str">
        <f>'3 Byggeår'!D128</f>
        <v>1,2</v>
      </c>
      <c r="C14" s="392" t="str">
        <f>'3 Byggeår'!E128</f>
        <v>1,5</v>
      </c>
      <c r="D14" s="217" t="str">
        <f>'3 Byggeår'!G76</f>
        <v>12</v>
      </c>
      <c r="E14" s="217" t="str">
        <f>'3 Byggeår'!H76</f>
        <v>10</v>
      </c>
      <c r="F14" s="217" t="str">
        <f>'3 Byggeår'!I76</f>
        <v>16</v>
      </c>
      <c r="G14" s="217" t="str">
        <f>'3 Byggeår'!J76</f>
        <v>13</v>
      </c>
      <c r="H14" s="219" t="str">
        <f>'3 Byggeår'!K76</f>
        <v>16/3</v>
      </c>
      <c r="I14" s="219" t="str">
        <f>'3 Byggeår'!L76</f>
        <v>14/3</v>
      </c>
      <c r="J14" s="217" t="str">
        <f>'3 Byggeår'!M76</f>
        <v>10</v>
      </c>
      <c r="K14" s="217" t="str">
        <f>'3 Byggeår'!N76</f>
        <v>12</v>
      </c>
      <c r="L14" s="217" t="str">
        <f>'3 Byggeår'!O76</f>
        <v>20</v>
      </c>
      <c r="M14" s="217" t="str">
        <f>'3 Byggeår'!P76</f>
        <v>12</v>
      </c>
    </row>
    <row r="15" spans="1:13" s="204" customFormat="1" ht="12.75" x14ac:dyDescent="0.2">
      <c r="A15" s="204" t="str">
        <f>'3 Byggeår'!A129</f>
        <v>Varmegjenvinning ventilasjon [%]</v>
      </c>
      <c r="B15" s="392">
        <f>'3 Byggeår'!D129</f>
        <v>0</v>
      </c>
      <c r="C15" s="392">
        <f>'3 Byggeår'!E129</f>
        <v>0</v>
      </c>
      <c r="D15" s="204">
        <f>'3 Byggeår'!G77</f>
        <v>0.7</v>
      </c>
      <c r="E15" s="204">
        <f>'3 Byggeår'!H77</f>
        <v>0.7</v>
      </c>
      <c r="F15" s="204">
        <f>'3 Byggeår'!I77</f>
        <v>0.7</v>
      </c>
      <c r="G15" s="204">
        <f>'3 Byggeår'!J77</f>
        <v>0.7</v>
      </c>
      <c r="H15" s="204">
        <f>'3 Byggeår'!K77</f>
        <v>0.7</v>
      </c>
      <c r="I15" s="204">
        <f>'3 Byggeår'!L77</f>
        <v>0.7</v>
      </c>
      <c r="J15" s="204">
        <f>'3 Byggeår'!M77</f>
        <v>0.7</v>
      </c>
      <c r="K15" s="204">
        <f>'3 Byggeår'!N77</f>
        <v>0.7</v>
      </c>
      <c r="L15" s="204">
        <f>'3 Byggeår'!O77</f>
        <v>0.7</v>
      </c>
      <c r="M15" s="204">
        <f>'3 Byggeår'!P77</f>
        <v>0.7</v>
      </c>
    </row>
    <row r="16" spans="1:13" s="204" customFormat="1" ht="12.75" x14ac:dyDescent="0.2">
      <c r="A16" s="204" t="str">
        <f>'3 Byggeår'!A130</f>
        <v>Frostsikringstemperatur [oC]</v>
      </c>
      <c r="B16" s="393" t="str">
        <f>'3 Byggeår'!D130</f>
        <v>Mekanisk avtrekk</v>
      </c>
      <c r="C16" s="393" t="str">
        <f>'3 Byggeår'!E130</f>
        <v>Mekanisk avtrekk</v>
      </c>
      <c r="D16" s="204">
        <f>'3 Byggeår'!G78</f>
        <v>-6</v>
      </c>
      <c r="E16" s="204">
        <f>'3 Byggeår'!H78</f>
        <v>-6</v>
      </c>
      <c r="F16" s="204">
        <f>'3 Byggeår'!I78</f>
        <v>-6</v>
      </c>
      <c r="G16" s="204">
        <f>'3 Byggeår'!J78</f>
        <v>-6</v>
      </c>
      <c r="H16" s="204">
        <f>'3 Byggeår'!K78</f>
        <v>-6</v>
      </c>
      <c r="I16" s="204">
        <f>'3 Byggeår'!L78</f>
        <v>-6</v>
      </c>
      <c r="J16" s="204">
        <f>'3 Byggeår'!M78</f>
        <v>-6</v>
      </c>
      <c r="K16" s="204">
        <f>'3 Byggeår'!N78</f>
        <v>-6</v>
      </c>
      <c r="L16" s="204">
        <f>'3 Byggeår'!O78</f>
        <v>-6</v>
      </c>
      <c r="M16" s="204">
        <f>'3 Byggeår'!P78</f>
        <v>-6</v>
      </c>
    </row>
    <row r="17" spans="1:13" s="204" customFormat="1" ht="12.75" x14ac:dyDescent="0.2">
      <c r="A17" s="204" t="str">
        <f>'3 Byggeår'!A131</f>
        <v>SFP-faktor [kW/(m3/s)]</v>
      </c>
      <c r="B17" s="392">
        <f>'3 Byggeår'!D131</f>
        <v>2</v>
      </c>
      <c r="C17" s="392">
        <f>'3 Byggeår'!E131</f>
        <v>2</v>
      </c>
      <c r="D17" s="204">
        <v>3</v>
      </c>
      <c r="E17" s="204">
        <v>3</v>
      </c>
      <c r="F17" s="204">
        <v>3</v>
      </c>
      <c r="G17" s="204">
        <v>3</v>
      </c>
      <c r="H17" s="204">
        <v>3</v>
      </c>
      <c r="I17" s="204">
        <v>3</v>
      </c>
      <c r="J17" s="204">
        <v>3</v>
      </c>
      <c r="K17" s="204">
        <v>3</v>
      </c>
      <c r="L17" s="204">
        <v>3</v>
      </c>
      <c r="M17" s="204">
        <v>3</v>
      </c>
    </row>
    <row r="18" spans="1:13" s="204" customFormat="1" ht="12.75" x14ac:dyDescent="0.2">
      <c r="A18" s="204" t="str">
        <f>'3 Byggeår'!A132</f>
        <v>Natt- og helgesenkning</v>
      </c>
      <c r="B18" s="204" t="str">
        <f>'3 Byggeår'!D132</f>
        <v>Ja</v>
      </c>
      <c r="C18" s="204" t="str">
        <f>'3 Byggeår'!E132</f>
        <v>Ja</v>
      </c>
      <c r="D18" s="204" t="str">
        <f>'3 Byggeår'!G132</f>
        <v>Ja</v>
      </c>
      <c r="E18" s="204" t="str">
        <f>'3 Byggeår'!H132</f>
        <v>Ja</v>
      </c>
      <c r="F18" s="204" t="str">
        <f>'3 Byggeår'!I132</f>
        <v>Ja</v>
      </c>
      <c r="G18" s="204" t="str">
        <f>'3 Byggeår'!J132</f>
        <v>Ja</v>
      </c>
      <c r="H18" s="204" t="str">
        <f>'3 Byggeår'!K132</f>
        <v>Ja</v>
      </c>
      <c r="I18" s="204" t="str">
        <f>'3 Byggeår'!L132</f>
        <v>Ja</v>
      </c>
      <c r="J18" s="204" t="str">
        <f>'3 Byggeår'!M132</f>
        <v>Ja</v>
      </c>
      <c r="K18" s="204" t="str">
        <f>'3 Byggeår'!N132</f>
        <v>Ja</v>
      </c>
      <c r="L18" s="204" t="str">
        <f>'3 Byggeår'!O132</f>
        <v>Ja</v>
      </c>
      <c r="M18" s="204" t="str">
        <f>'3 Byggeår'!P132</f>
        <v>Ja</v>
      </c>
    </row>
    <row r="19" spans="1:13" s="204" customFormat="1" ht="12.75" x14ac:dyDescent="0.2">
      <c r="A19" s="204" t="str">
        <f>'3 Byggeår'!A133</f>
        <v>Solavskjerming for elimin. lokalkjøling</v>
      </c>
      <c r="B19" s="204" t="str">
        <f>'3 Byggeår'!D133</f>
        <v>Ingen kjøling</v>
      </c>
      <c r="C19" s="204" t="str">
        <f>'3 Byggeår'!E133</f>
        <v>Ingen kjøling</v>
      </c>
      <c r="D19" s="204" t="str">
        <f>'3 Byggeår'!G133</f>
        <v>Ja, manuell</v>
      </c>
      <c r="E19" s="204" t="str">
        <f>'3 Byggeår'!H133</f>
        <v>Ja, manuell</v>
      </c>
      <c r="F19" s="204" t="str">
        <f>'3 Byggeår'!I133</f>
        <v>Ja, manuell</v>
      </c>
      <c r="G19" s="204" t="str">
        <f>'3 Byggeår'!J133</f>
        <v>Ja, manuell</v>
      </c>
      <c r="H19" s="204" t="str">
        <f>'3 Byggeår'!K133</f>
        <v>Ja, manuell</v>
      </c>
      <c r="I19" s="204" t="str">
        <f>'3 Byggeår'!L133</f>
        <v>Ja, manuell</v>
      </c>
      <c r="J19" s="204" t="str">
        <f>'3 Byggeår'!M133</f>
        <v>Ja, manuell</v>
      </c>
      <c r="K19" s="204" t="str">
        <f>'3 Byggeår'!N133</f>
        <v>Ja, manuell</v>
      </c>
      <c r="L19" s="204" t="str">
        <f>'3 Byggeår'!O133</f>
        <v>Ja, manuell</v>
      </c>
      <c r="M19" s="204" t="str">
        <f>'3 Byggeår'!P133</f>
        <v>Ja, manuell</v>
      </c>
    </row>
    <row r="20" spans="1:13" s="204" customFormat="1" ht="12.75" x14ac:dyDescent="0.2">
      <c r="A20" s="204" t="str">
        <f>'3 Byggeår'!A134</f>
        <v>Installert kjøleeffekt ventilasjon [W/m2]</v>
      </c>
      <c r="B20" s="204">
        <f>'3 Byggeår'!D134</f>
        <v>0</v>
      </c>
      <c r="C20" s="204">
        <f>'3 Byggeår'!E134</f>
        <v>0</v>
      </c>
      <c r="D20" s="204">
        <f>'3 Byggeår'!G134</f>
        <v>0</v>
      </c>
      <c r="E20" s="204">
        <f>'3 Byggeår'!H134</f>
        <v>60</v>
      </c>
      <c r="F20" s="204">
        <f>'3 Byggeår'!I134</f>
        <v>0</v>
      </c>
      <c r="G20" s="204">
        <f>'3 Byggeår'!J134</f>
        <v>70</v>
      </c>
      <c r="H20" s="204">
        <f>'3 Byggeår'!K134</f>
        <v>90</v>
      </c>
      <c r="I20" s="204">
        <f>'3 Byggeår'!L134</f>
        <v>0</v>
      </c>
      <c r="J20" s="204">
        <f>'3 Byggeår'!M134</f>
        <v>125</v>
      </c>
      <c r="K20" s="204">
        <f>'3 Byggeår'!N134</f>
        <v>0</v>
      </c>
      <c r="L20" s="204">
        <f>'3 Byggeår'!O134</f>
        <v>100</v>
      </c>
      <c r="M20" s="204">
        <f>'3 Byggeår'!P134</f>
        <v>70</v>
      </c>
    </row>
    <row r="21" spans="1:13" s="204" customFormat="1" ht="12.75" x14ac:dyDescent="0.2">
      <c r="A21" s="204" t="str">
        <f>'3 Byggeår'!A135</f>
        <v>Internlaster, belysning [W/m2]</v>
      </c>
      <c r="B21" s="204">
        <f>'3 Byggeår'!D135</f>
        <v>1.95</v>
      </c>
      <c r="C21" s="204">
        <f>'3 Byggeår'!E135</f>
        <v>1.95</v>
      </c>
      <c r="D21" s="204">
        <f>'3 Byggeår'!G135</f>
        <v>10</v>
      </c>
      <c r="E21" s="204">
        <f>'3 Byggeår'!H135</f>
        <v>10</v>
      </c>
      <c r="F21" s="204">
        <f>'3 Byggeår'!I135</f>
        <v>12.5</v>
      </c>
      <c r="G21" s="204">
        <f>'3 Byggeår'!J135</f>
        <v>10</v>
      </c>
      <c r="H21" s="204">
        <f>'3 Byggeår'!K135</f>
        <v>10</v>
      </c>
      <c r="I21" s="204">
        <f>'3 Byggeår'!L135</f>
        <v>10</v>
      </c>
      <c r="J21" s="204">
        <f>'3 Byggeår'!M135</f>
        <v>10</v>
      </c>
      <c r="K21" s="204">
        <f>'3 Byggeår'!N135</f>
        <v>10</v>
      </c>
      <c r="L21" s="204">
        <f>'3 Byggeår'!O135</f>
        <v>18.75</v>
      </c>
      <c r="M21" s="204">
        <f>'3 Byggeår'!P135</f>
        <v>10</v>
      </c>
    </row>
    <row r="22" spans="1:13" s="204" customFormat="1" ht="12.75" x14ac:dyDescent="0.2">
      <c r="A22" s="204" t="str">
        <f>'3 Byggeår'!A136</f>
        <v xml:space="preserve">                        , utstyr [W/m2]</v>
      </c>
      <c r="B22" s="204">
        <f>'3 Byggeår'!D136</f>
        <v>3</v>
      </c>
      <c r="C22" s="204">
        <f>'3 Byggeår'!E136</f>
        <v>3</v>
      </c>
      <c r="D22" s="204">
        <f>'3 Byggeår'!G136</f>
        <v>2</v>
      </c>
      <c r="E22" s="204">
        <f>'3 Byggeår'!H136</f>
        <v>11</v>
      </c>
      <c r="F22" s="204">
        <f>'3 Byggeår'!I136</f>
        <v>6</v>
      </c>
      <c r="G22" s="204">
        <f>'3 Byggeår'!J136</f>
        <v>11</v>
      </c>
      <c r="H22" s="204">
        <f>'3 Byggeår'!K136</f>
        <v>8</v>
      </c>
      <c r="I22" s="204">
        <f>'3 Byggeår'!L136</f>
        <v>4</v>
      </c>
      <c r="J22" s="204">
        <f>'3 Byggeår'!M136</f>
        <v>1</v>
      </c>
      <c r="K22" s="204">
        <f>'3 Byggeår'!N136</f>
        <v>1</v>
      </c>
      <c r="L22" s="204">
        <f>'3 Byggeår'!O136</f>
        <v>1</v>
      </c>
      <c r="M22" s="204">
        <f>'3 Byggeår'!P136</f>
        <v>1</v>
      </c>
    </row>
    <row r="23" spans="1:13" s="204" customFormat="1" ht="12.75" x14ac:dyDescent="0.2">
      <c r="A23" s="204" t="str">
        <f>'3 Byggeår'!A137</f>
        <v xml:space="preserve">                        , varmtvann [W/m2]</v>
      </c>
      <c r="B23" s="204">
        <f>'3 Byggeår'!D137</f>
        <v>5.0999999999999996</v>
      </c>
      <c r="C23" s="204">
        <f>'3 Byggeår'!E137</f>
        <v>5.0999999999999996</v>
      </c>
      <c r="D23" s="204">
        <f>'3 Byggeår'!G137</f>
        <v>3.8</v>
      </c>
      <c r="E23" s="204">
        <f>'3 Byggeår'!H137</f>
        <v>1.6</v>
      </c>
      <c r="F23" s="204">
        <f>'3 Byggeår'!I137</f>
        <v>4.5</v>
      </c>
      <c r="G23" s="204">
        <f>'3 Byggeår'!J137</f>
        <v>1.6</v>
      </c>
      <c r="H23" s="204">
        <f>'3 Byggeår'!K137</f>
        <v>5.0999999999999996</v>
      </c>
      <c r="I23" s="204">
        <f>'3 Byggeår'!L137</f>
        <v>5.0999999999999996</v>
      </c>
      <c r="J23" s="204">
        <f>'3 Byggeår'!M137</f>
        <v>5.0999999999999996</v>
      </c>
      <c r="K23" s="204">
        <f>'3 Byggeår'!N137</f>
        <v>18.899999999999999</v>
      </c>
      <c r="L23" s="204">
        <f>'3 Byggeår'!O137</f>
        <v>2.7</v>
      </c>
      <c r="M23" s="204">
        <f>'3 Byggeår'!P137</f>
        <v>3.5</v>
      </c>
    </row>
    <row r="24" spans="1:13" s="204" customFormat="1" ht="12.75" x14ac:dyDescent="0.2">
      <c r="A24" s="204" t="str">
        <f>'3 Byggeår'!A138</f>
        <v>Varmetilskudd, personer [W/m2]</v>
      </c>
      <c r="B24" s="204">
        <f>'3 Byggeår'!D138</f>
        <v>1.5</v>
      </c>
      <c r="C24" s="204">
        <f>'3 Byggeår'!E138</f>
        <v>1.5</v>
      </c>
      <c r="D24" s="204">
        <f>'3 Byggeår'!G138</f>
        <v>6</v>
      </c>
      <c r="E24" s="204">
        <f>'3 Byggeår'!H138</f>
        <v>4</v>
      </c>
      <c r="F24" s="204">
        <f>'3 Byggeår'!I138</f>
        <v>12</v>
      </c>
      <c r="G24" s="204">
        <f>'3 Byggeår'!J138</f>
        <v>6</v>
      </c>
      <c r="H24" s="204">
        <f>'3 Byggeår'!K138</f>
        <v>2</v>
      </c>
      <c r="I24" s="204">
        <f>'3 Byggeår'!L138</f>
        <v>3</v>
      </c>
      <c r="J24" s="204">
        <f>'3 Byggeår'!M138</f>
        <v>2</v>
      </c>
      <c r="K24" s="204">
        <f>'3 Byggeår'!N138</f>
        <v>10</v>
      </c>
      <c r="L24" s="204">
        <f>'3 Byggeår'!O138</f>
        <v>10</v>
      </c>
      <c r="M24" s="204">
        <f>'3 Byggeår'!P138</f>
        <v>3.2</v>
      </c>
    </row>
    <row r="25" spans="1:13" s="204" customFormat="1" ht="12.75" x14ac:dyDescent="0.2">
      <c r="A25" s="204" t="str">
        <f>'3 Byggeår'!A139</f>
        <v>Solskjerming solfaktor, fast  / ikke aktivisert stilling</v>
      </c>
      <c r="B25" s="204">
        <f>'3 Byggeår'!D139</f>
        <v>0.7</v>
      </c>
      <c r="C25" s="204">
        <f>'3 Byggeår'!E139</f>
        <v>0.7</v>
      </c>
      <c r="D25" s="204">
        <f>'3 Byggeår'!G139</f>
        <v>0.7</v>
      </c>
      <c r="E25" s="204">
        <f>'3 Byggeår'!H139</f>
        <v>0.7</v>
      </c>
      <c r="F25" s="204">
        <f>'3 Byggeår'!I139</f>
        <v>0.7</v>
      </c>
      <c r="G25" s="204">
        <f>'3 Byggeår'!J139</f>
        <v>0.7</v>
      </c>
      <c r="H25" s="204">
        <f>'3 Byggeår'!K139</f>
        <v>0.7</v>
      </c>
      <c r="I25" s="204">
        <f>'3 Byggeår'!L139</f>
        <v>0.7</v>
      </c>
      <c r="J25" s="204">
        <f>'3 Byggeår'!M139</f>
        <v>0.7</v>
      </c>
      <c r="K25" s="204">
        <f>'3 Byggeår'!N139</f>
        <v>0.7</v>
      </c>
      <c r="L25" s="204">
        <f>'3 Byggeår'!O139</f>
        <v>0.7</v>
      </c>
      <c r="M25" s="204">
        <f>'3 Byggeår'!P139</f>
        <v>0.7</v>
      </c>
    </row>
    <row r="26" spans="1:13" s="204" customFormat="1" ht="12.75" x14ac:dyDescent="0.2">
      <c r="A26" s="204" t="str">
        <f>'3 Byggeår'!A140</f>
        <v xml:space="preserve">                                         , aktivisert stilling</v>
      </c>
      <c r="B26" s="204" t="str">
        <f>'3 Byggeår'!D140</f>
        <v>-</v>
      </c>
      <c r="C26" s="204" t="str">
        <f>'3 Byggeår'!E140</f>
        <v>-</v>
      </c>
      <c r="D26" s="204" t="str">
        <f>'3 Byggeår'!G140</f>
        <v>-</v>
      </c>
      <c r="E26" s="204">
        <f>'3 Byggeår'!H140</f>
        <v>0.13999999999999999</v>
      </c>
      <c r="F26" s="204">
        <f>'3 Byggeår'!I140</f>
        <v>0.13999999999999999</v>
      </c>
      <c r="G26" s="204">
        <f>'3 Byggeår'!J140</f>
        <v>0.14000000000000001</v>
      </c>
      <c r="H26" s="204">
        <f>'3 Byggeår'!K140</f>
        <v>0.14000000000000001</v>
      </c>
      <c r="I26" s="204">
        <f>'3 Byggeår'!L140</f>
        <v>0.14000000000000001</v>
      </c>
      <c r="J26" s="204">
        <f>'3 Byggeår'!M140</f>
        <v>0.14000000000000001</v>
      </c>
      <c r="K26" s="204">
        <f>'3 Byggeår'!N140</f>
        <v>0.14000000000000001</v>
      </c>
      <c r="L26" s="204">
        <f>'3 Byggeår'!O140</f>
        <v>0.14000000000000001</v>
      </c>
      <c r="M26" s="204">
        <f>'3 Byggeår'!P140</f>
        <v>0.14000000000000001</v>
      </c>
    </row>
    <row r="27" spans="1:13" s="204" customFormat="1" ht="12.75" x14ac:dyDescent="0.2">
      <c r="A27" s="204" t="str">
        <f>'3 Byggeår'!A141</f>
        <v xml:space="preserve">                                         , automatisk solskj.e. solflux</v>
      </c>
      <c r="B27" s="204" t="str">
        <f>'3 Byggeår'!D141</f>
        <v>-</v>
      </c>
      <c r="C27" s="204" t="str">
        <f>'3 Byggeår'!E141</f>
        <v>-</v>
      </c>
      <c r="D27" s="204" t="str">
        <f>'3 Byggeår'!G141</f>
        <v>-</v>
      </c>
      <c r="E27" s="204" t="str">
        <f>'3 Byggeår'!H141</f>
        <v>Nei</v>
      </c>
      <c r="F27" s="204" t="str">
        <f>'3 Byggeår'!I141</f>
        <v>Nei</v>
      </c>
      <c r="G27" s="204" t="str">
        <f>'3 Byggeår'!J141</f>
        <v>Nei</v>
      </c>
      <c r="H27" s="204" t="str">
        <f>'3 Byggeår'!K141</f>
        <v>Nei</v>
      </c>
      <c r="I27" s="204" t="str">
        <f>'3 Byggeår'!L141</f>
        <v>Nei</v>
      </c>
      <c r="J27" s="204" t="str">
        <f>'3 Byggeår'!M141</f>
        <v>Nei</v>
      </c>
      <c r="K27" s="204" t="str">
        <f>'3 Byggeår'!N141</f>
        <v>Nei</v>
      </c>
      <c r="L27" s="204" t="str">
        <f>'3 Byggeår'!O141</f>
        <v>Nei</v>
      </c>
      <c r="M27" s="204" t="str">
        <f>'3 Byggeår'!P141</f>
        <v>Nei</v>
      </c>
    </row>
    <row r="28" spans="1:13" s="204" customFormat="1" ht="12.75" x14ac:dyDescent="0.2">
      <c r="A28" s="390" t="s">
        <v>478</v>
      </c>
      <c r="B28" s="204" t="s">
        <v>311</v>
      </c>
      <c r="C28" s="204" t="s">
        <v>311</v>
      </c>
      <c r="D28" s="204" t="s">
        <v>311</v>
      </c>
      <c r="E28" s="204" t="s">
        <v>311</v>
      </c>
      <c r="F28" s="204" t="s">
        <v>311</v>
      </c>
      <c r="G28" s="204" t="s">
        <v>311</v>
      </c>
      <c r="H28" s="204" t="s">
        <v>311</v>
      </c>
      <c r="I28" s="204" t="s">
        <v>311</v>
      </c>
      <c r="J28" s="204" t="s">
        <v>311</v>
      </c>
      <c r="K28" s="204" t="s">
        <v>311</v>
      </c>
      <c r="L28" s="204" t="s">
        <v>311</v>
      </c>
      <c r="M28" s="204" t="s">
        <v>311</v>
      </c>
    </row>
    <row r="29" spans="1:13" x14ac:dyDescent="0.25">
      <c r="A29" s="388" t="s">
        <v>479</v>
      </c>
      <c r="B29" s="391">
        <v>16</v>
      </c>
      <c r="C29" s="391">
        <v>16</v>
      </c>
      <c r="D29" s="391">
        <v>10</v>
      </c>
      <c r="E29" s="391">
        <v>12</v>
      </c>
      <c r="F29" s="391">
        <v>10</v>
      </c>
      <c r="G29" s="391">
        <v>12</v>
      </c>
      <c r="H29" s="391">
        <v>16</v>
      </c>
      <c r="I29" s="391">
        <v>16</v>
      </c>
      <c r="J29" s="391">
        <v>16</v>
      </c>
      <c r="K29" s="391">
        <v>12</v>
      </c>
      <c r="L29" s="391">
        <v>12</v>
      </c>
      <c r="M29" s="391">
        <v>11</v>
      </c>
    </row>
    <row r="30" spans="1:13" x14ac:dyDescent="0.25">
      <c r="A30" s="388" t="s">
        <v>481</v>
      </c>
      <c r="B30" s="391">
        <v>24</v>
      </c>
      <c r="C30" s="391">
        <v>24</v>
      </c>
      <c r="D30" s="391">
        <v>10</v>
      </c>
      <c r="E30" s="391">
        <v>12</v>
      </c>
      <c r="F30" s="391">
        <v>10</v>
      </c>
      <c r="G30" s="391">
        <v>12</v>
      </c>
      <c r="H30" s="391">
        <v>16</v>
      </c>
      <c r="I30" s="391">
        <v>16</v>
      </c>
      <c r="J30" s="391">
        <v>16</v>
      </c>
      <c r="K30" s="391">
        <v>12</v>
      </c>
      <c r="L30" s="391">
        <v>12</v>
      </c>
      <c r="M30" s="391">
        <v>11</v>
      </c>
    </row>
    <row r="31" spans="1:13" x14ac:dyDescent="0.25">
      <c r="A31" s="388" t="s">
        <v>480</v>
      </c>
      <c r="B31" s="391">
        <v>24</v>
      </c>
      <c r="C31" s="391">
        <v>24</v>
      </c>
      <c r="D31" s="391">
        <v>10</v>
      </c>
      <c r="E31" s="391">
        <v>12</v>
      </c>
      <c r="F31" s="391">
        <v>10</v>
      </c>
      <c r="G31" s="391">
        <v>12</v>
      </c>
      <c r="H31" s="391">
        <v>24</v>
      </c>
      <c r="I31" s="391">
        <v>24</v>
      </c>
      <c r="J31" s="391">
        <v>24</v>
      </c>
      <c r="K31" s="391">
        <v>12</v>
      </c>
      <c r="L31" s="391">
        <v>12</v>
      </c>
      <c r="M31" s="391">
        <v>11</v>
      </c>
    </row>
    <row r="32" spans="1:13" x14ac:dyDescent="0.25">
      <c r="A32" s="388" t="s">
        <v>482</v>
      </c>
      <c r="B32" s="391">
        <v>21</v>
      </c>
      <c r="C32" s="391">
        <v>21</v>
      </c>
      <c r="D32" s="391">
        <v>21</v>
      </c>
      <c r="E32" s="391">
        <v>21</v>
      </c>
      <c r="F32" s="391">
        <v>21</v>
      </c>
      <c r="G32" s="391">
        <v>21</v>
      </c>
      <c r="H32" s="391">
        <v>21</v>
      </c>
      <c r="I32" s="391">
        <v>21</v>
      </c>
      <c r="J32" s="391">
        <v>21</v>
      </c>
      <c r="K32" s="391">
        <v>19</v>
      </c>
      <c r="L32" s="391">
        <v>21</v>
      </c>
      <c r="M32" s="391">
        <v>21</v>
      </c>
    </row>
    <row r="33" spans="1:13" x14ac:dyDescent="0.25">
      <c r="A33" s="388" t="s">
        <v>484</v>
      </c>
      <c r="B33" s="391">
        <v>19</v>
      </c>
      <c r="C33" s="391">
        <v>19</v>
      </c>
      <c r="D33" s="391">
        <v>19</v>
      </c>
      <c r="E33" s="391">
        <v>19</v>
      </c>
      <c r="F33" s="391">
        <v>19</v>
      </c>
      <c r="G33" s="391">
        <v>19</v>
      </c>
      <c r="H33" s="391">
        <v>19</v>
      </c>
      <c r="I33" s="391">
        <v>19</v>
      </c>
      <c r="J33" s="391">
        <v>19</v>
      </c>
      <c r="K33" s="391">
        <v>17</v>
      </c>
      <c r="L33" s="391">
        <v>19</v>
      </c>
      <c r="M33" s="391">
        <v>19</v>
      </c>
    </row>
    <row r="34" spans="1:13" x14ac:dyDescent="0.25">
      <c r="A34" s="388" t="s">
        <v>485</v>
      </c>
      <c r="B34" s="391">
        <v>18</v>
      </c>
      <c r="C34" s="391">
        <v>18</v>
      </c>
      <c r="D34" s="391">
        <v>18</v>
      </c>
      <c r="E34" s="391">
        <v>18</v>
      </c>
      <c r="F34" s="391">
        <v>18</v>
      </c>
      <c r="G34" s="391">
        <v>18</v>
      </c>
      <c r="H34" s="391">
        <v>18</v>
      </c>
      <c r="I34" s="391">
        <v>18</v>
      </c>
      <c r="J34" s="391">
        <v>18</v>
      </c>
      <c r="K34" s="391">
        <v>18</v>
      </c>
      <c r="L34" s="391">
        <v>18</v>
      </c>
      <c r="M34" s="391">
        <v>18</v>
      </c>
    </row>
    <row r="35" spans="1:13" x14ac:dyDescent="0.25">
      <c r="A35" s="388" t="s">
        <v>483</v>
      </c>
      <c r="B35" s="394" t="s">
        <v>15</v>
      </c>
      <c r="C35" s="394" t="s">
        <v>15</v>
      </c>
      <c r="D35" s="394" t="s">
        <v>15</v>
      </c>
      <c r="E35" s="391">
        <v>16</v>
      </c>
      <c r="F35" s="394" t="s">
        <v>15</v>
      </c>
      <c r="G35" s="391">
        <v>16</v>
      </c>
      <c r="H35" s="391">
        <v>16</v>
      </c>
      <c r="I35" s="394" t="s">
        <v>15</v>
      </c>
      <c r="J35" s="391">
        <v>16</v>
      </c>
      <c r="K35" s="394" t="s">
        <v>15</v>
      </c>
      <c r="L35" s="391">
        <v>16</v>
      </c>
      <c r="M35" s="391">
        <v>16</v>
      </c>
    </row>
    <row r="38" spans="1:13" s="388" customFormat="1" x14ac:dyDescent="0.25">
      <c r="A38" s="395" t="s">
        <v>424</v>
      </c>
      <c r="B38" s="390" t="str">
        <f>'3 Byggeår'!D145</f>
        <v>Småhus</v>
      </c>
      <c r="C38" s="390" t="str">
        <f>'3 Byggeår'!E145</f>
        <v>Boligblokk</v>
      </c>
      <c r="D38" s="390" t="str">
        <f>'3 Byggeår'!G145</f>
        <v>Barnehage</v>
      </c>
      <c r="E38" s="390" t="str">
        <f>'3 Byggeår'!H145</f>
        <v>Kontorbygning</v>
      </c>
      <c r="F38" s="390" t="str">
        <f>'3 Byggeår'!I145</f>
        <v>Skolebygning</v>
      </c>
      <c r="G38" s="390" t="str">
        <f>'3 Byggeår'!J145</f>
        <v>Universitets- og høgskolebygning</v>
      </c>
      <c r="H38" s="390" t="str">
        <f>'3 Byggeår'!K145</f>
        <v>Sykehus</v>
      </c>
      <c r="I38" s="390" t="str">
        <f>'3 Byggeår'!L145</f>
        <v>Sykehjem</v>
      </c>
      <c r="J38" s="390" t="str">
        <f>'3 Byggeår'!M145</f>
        <v>Hotellbygning</v>
      </c>
      <c r="K38" s="390" t="str">
        <f>'3 Byggeår'!N145</f>
        <v>Idrettsbygning</v>
      </c>
      <c r="L38" s="390" t="str">
        <f>'3 Byggeår'!O145</f>
        <v>Forretningsbygning</v>
      </c>
      <c r="M38" s="390" t="str">
        <f>'3 Byggeår'!P145</f>
        <v>Kulturbygning</v>
      </c>
    </row>
    <row r="39" spans="1:13" s="388" customFormat="1" x14ac:dyDescent="0.25"/>
    <row r="40" spans="1:13" s="388" customFormat="1" x14ac:dyDescent="0.25">
      <c r="A40" s="390" t="str">
        <f>'3 Byggeår'!A145</f>
        <v>Energitiltak</v>
      </c>
    </row>
    <row r="41" spans="1:13" x14ac:dyDescent="0.25">
      <c r="A41" s="388" t="s">
        <v>476</v>
      </c>
      <c r="B41" s="204"/>
      <c r="C41" s="204"/>
      <c r="D41" s="204"/>
      <c r="E41" s="204"/>
      <c r="F41" s="204"/>
      <c r="G41" s="204"/>
      <c r="H41" s="204"/>
      <c r="I41" s="204"/>
      <c r="J41" s="204"/>
      <c r="K41" s="204"/>
      <c r="L41" s="204"/>
      <c r="M41" s="204"/>
    </row>
    <row r="42" spans="1:13" x14ac:dyDescent="0.25">
      <c r="A42" s="204" t="str">
        <f>'3 Byggeår'!A147</f>
        <v xml:space="preserve">Begrensning glass/vindu/dørareal </v>
      </c>
      <c r="B42" s="204">
        <f>'3 Byggeår'!D147</f>
        <v>0.2</v>
      </c>
      <c r="C42" s="204">
        <f>'3 Byggeår'!E147</f>
        <v>0.2</v>
      </c>
      <c r="D42" s="204">
        <f>'3 Byggeår'!G147</f>
        <v>0.2</v>
      </c>
      <c r="E42" s="204">
        <f>'3 Byggeår'!H147</f>
        <v>0.2</v>
      </c>
      <c r="F42" s="204">
        <f>'3 Byggeår'!I147</f>
        <v>0.2</v>
      </c>
      <c r="G42" s="204">
        <f>'3 Byggeår'!J147</f>
        <v>0.2</v>
      </c>
      <c r="H42" s="204">
        <f>'3 Byggeår'!K147</f>
        <v>0.2</v>
      </c>
      <c r="I42" s="204">
        <f>'3 Byggeår'!L147</f>
        <v>0.2</v>
      </c>
      <c r="J42" s="204">
        <f>'3 Byggeår'!M147</f>
        <v>0.2</v>
      </c>
      <c r="K42" s="204">
        <f>'3 Byggeår'!N147</f>
        <v>0.2</v>
      </c>
      <c r="L42" s="204">
        <f>'3 Byggeår'!O147</f>
        <v>0.2</v>
      </c>
      <c r="M42" s="204">
        <f>'3 Byggeår'!P147</f>
        <v>0.2</v>
      </c>
    </row>
    <row r="43" spans="1:13" x14ac:dyDescent="0.25">
      <c r="A43" s="204" t="str">
        <f>'3 Byggeår'!A148</f>
        <v>U-verdi yttervegg [W/m2K]</v>
      </c>
      <c r="B43" s="204">
        <f>'3 Byggeår'!D148</f>
        <v>0.4</v>
      </c>
      <c r="C43" s="204">
        <f>'3 Byggeår'!E148</f>
        <v>0.7</v>
      </c>
      <c r="D43" s="204">
        <f>'3 Byggeår'!G148</f>
        <v>0.4</v>
      </c>
      <c r="E43" s="204">
        <f>'3 Byggeår'!H148</f>
        <v>0.7</v>
      </c>
      <c r="F43" s="204">
        <f>'3 Byggeår'!I148</f>
        <v>0.7</v>
      </c>
      <c r="G43" s="204">
        <f>'3 Byggeår'!J148</f>
        <v>0.7</v>
      </c>
      <c r="H43" s="204">
        <f>'3 Byggeår'!K148</f>
        <v>0.7</v>
      </c>
      <c r="I43" s="204">
        <f>'3 Byggeår'!L148</f>
        <v>0.4</v>
      </c>
      <c r="J43" s="204">
        <f>'3 Byggeår'!M148</f>
        <v>0.7</v>
      </c>
      <c r="K43" s="204">
        <f>'3 Byggeår'!N148</f>
        <v>0.7</v>
      </c>
      <c r="L43" s="204">
        <f>'3 Byggeår'!O148</f>
        <v>0.7</v>
      </c>
      <c r="M43" s="204">
        <f>'3 Byggeår'!P148</f>
        <v>0.7</v>
      </c>
    </row>
    <row r="44" spans="1:13" x14ac:dyDescent="0.25">
      <c r="A44" s="204" t="str">
        <f>'3 Byggeår'!A149</f>
        <v>U-verdi gulv [W/m2K]</v>
      </c>
      <c r="B44" s="204">
        <f>'3 Byggeår'!D149</f>
        <v>0.3</v>
      </c>
      <c r="C44" s="204">
        <f>'3 Byggeår'!E149</f>
        <v>0.3</v>
      </c>
      <c r="D44" s="204">
        <f>'3 Byggeår'!G149</f>
        <v>0.3</v>
      </c>
      <c r="E44" s="204">
        <f>'3 Byggeår'!H149</f>
        <v>0.3</v>
      </c>
      <c r="F44" s="204">
        <f>'3 Byggeår'!I149</f>
        <v>0.3</v>
      </c>
      <c r="G44" s="204">
        <f>'3 Byggeår'!J149</f>
        <v>0.3</v>
      </c>
      <c r="H44" s="204">
        <f>'3 Byggeår'!K149</f>
        <v>0.3</v>
      </c>
      <c r="I44" s="204">
        <f>'3 Byggeår'!L149</f>
        <v>0.3</v>
      </c>
      <c r="J44" s="204">
        <f>'3 Byggeår'!M149</f>
        <v>0.3</v>
      </c>
      <c r="K44" s="204">
        <f>'3 Byggeår'!N149</f>
        <v>0.3</v>
      </c>
      <c r="L44" s="204">
        <f>'3 Byggeår'!O149</f>
        <v>0.3</v>
      </c>
      <c r="M44" s="204">
        <f>'3 Byggeår'!P149</f>
        <v>0.3</v>
      </c>
    </row>
    <row r="45" spans="1:13" x14ac:dyDescent="0.25">
      <c r="A45" s="204" t="str">
        <f>'3 Byggeår'!A150</f>
        <v>U-verdi tak [W/m2K]</v>
      </c>
      <c r="B45" s="204">
        <f>'3 Byggeår'!D150</f>
        <v>0.3</v>
      </c>
      <c r="C45" s="204">
        <f>'3 Byggeår'!E150</f>
        <v>0.35</v>
      </c>
      <c r="D45" s="204">
        <f>'3 Byggeår'!G150</f>
        <v>0.3</v>
      </c>
      <c r="E45" s="204">
        <f>'3 Byggeår'!H150</f>
        <v>0.35</v>
      </c>
      <c r="F45" s="204">
        <f>'3 Byggeår'!I150</f>
        <v>0.35</v>
      </c>
      <c r="G45" s="204">
        <f>'3 Byggeår'!J150</f>
        <v>0.35</v>
      </c>
      <c r="H45" s="204">
        <f>'3 Byggeår'!K150</f>
        <v>0.35</v>
      </c>
      <c r="I45" s="204">
        <f>'3 Byggeår'!L150</f>
        <v>0.3</v>
      </c>
      <c r="J45" s="204">
        <f>'3 Byggeår'!M150</f>
        <v>0.35</v>
      </c>
      <c r="K45" s="204">
        <f>'3 Byggeår'!N150</f>
        <v>0.57999999999999996</v>
      </c>
      <c r="L45" s="204">
        <f>'3 Byggeår'!O150</f>
        <v>0.35</v>
      </c>
      <c r="M45" s="204">
        <f>'3 Byggeår'!P150</f>
        <v>0.35</v>
      </c>
    </row>
    <row r="46" spans="1:13" x14ac:dyDescent="0.25">
      <c r="A46" s="204" t="str">
        <f>'3 Byggeår'!A151</f>
        <v>U-verdi vinduer/ dører [W/m2K]</v>
      </c>
      <c r="B46" s="204">
        <f>'3 Byggeår'!D151</f>
        <v>2.8</v>
      </c>
      <c r="C46" s="204">
        <f>'3 Byggeår'!E151</f>
        <v>2.8</v>
      </c>
      <c r="D46" s="204">
        <f>'3 Byggeår'!G151</f>
        <v>2.8</v>
      </c>
      <c r="E46" s="204">
        <f>'3 Byggeår'!H151</f>
        <v>2.8</v>
      </c>
      <c r="F46" s="204">
        <f>'3 Byggeår'!I151</f>
        <v>2.8</v>
      </c>
      <c r="G46" s="204">
        <f>'3 Byggeår'!J151</f>
        <v>2.8</v>
      </c>
      <c r="H46" s="204">
        <f>'3 Byggeår'!K151</f>
        <v>2.8</v>
      </c>
      <c r="I46" s="204">
        <f>'3 Byggeår'!L151</f>
        <v>2.8</v>
      </c>
      <c r="J46" s="204">
        <f>'3 Byggeår'!M151</f>
        <v>2.8</v>
      </c>
      <c r="K46" s="204">
        <f>'3 Byggeår'!N151</f>
        <v>2.8</v>
      </c>
      <c r="L46" s="204">
        <f>'3 Byggeår'!O151</f>
        <v>2.8</v>
      </c>
      <c r="M46" s="204">
        <f>'3 Byggeår'!P151</f>
        <v>2.8</v>
      </c>
    </row>
    <row r="47" spans="1:13" x14ac:dyDescent="0.25">
      <c r="A47" s="204" t="str">
        <f>'3 Byggeår'!A152</f>
        <v>Normalisert kuldebroverdi [W/m2,K]</v>
      </c>
      <c r="B47" s="204">
        <f>'3 Byggeår'!D152</f>
        <v>0.05</v>
      </c>
      <c r="C47" s="204">
        <f>'3 Byggeår'!E152</f>
        <v>0.12</v>
      </c>
      <c r="D47" s="204">
        <f>'3 Byggeår'!G152</f>
        <v>0.05</v>
      </c>
      <c r="E47" s="204">
        <f>'3 Byggeår'!H152</f>
        <v>0.12</v>
      </c>
      <c r="F47" s="204">
        <f>'3 Byggeår'!I152</f>
        <v>0.12</v>
      </c>
      <c r="G47" s="204">
        <f>'3 Byggeår'!J152</f>
        <v>0.12</v>
      </c>
      <c r="H47" s="204">
        <f>'3 Byggeår'!K152</f>
        <v>0.12</v>
      </c>
      <c r="I47" s="204">
        <f>'3 Byggeår'!L152</f>
        <v>0.05</v>
      </c>
      <c r="J47" s="204">
        <f>'3 Byggeår'!M152</f>
        <v>0.12</v>
      </c>
      <c r="K47" s="204">
        <f>'3 Byggeår'!N152</f>
        <v>0.12</v>
      </c>
      <c r="L47" s="204">
        <f>'3 Byggeår'!O152</f>
        <v>0.12</v>
      </c>
      <c r="M47" s="204">
        <f>'3 Byggeår'!P152</f>
        <v>0.12</v>
      </c>
    </row>
    <row r="48" spans="1:13" x14ac:dyDescent="0.25">
      <c r="A48" s="204" t="str">
        <f>'3 Byggeår'!A153</f>
        <v>Lufttetthet, lekkasjetall N50 [1/h]</v>
      </c>
      <c r="B48" s="204">
        <f>'3 Byggeår'!D153</f>
        <v>5</v>
      </c>
      <c r="C48" s="204">
        <f>'3 Byggeår'!E153</f>
        <v>2.5</v>
      </c>
      <c r="D48" s="204">
        <f>'3 Byggeår'!G153</f>
        <v>3</v>
      </c>
      <c r="E48" s="204">
        <f>'3 Byggeår'!H153</f>
        <v>2.5</v>
      </c>
      <c r="F48" s="204">
        <f>'3 Byggeår'!I153</f>
        <v>3</v>
      </c>
      <c r="G48" s="204">
        <f>'3 Byggeår'!J153</f>
        <v>2.5</v>
      </c>
      <c r="H48" s="204">
        <f>'3 Byggeår'!K153</f>
        <v>2.5</v>
      </c>
      <c r="I48" s="204">
        <f>'3 Byggeår'!L153</f>
        <v>3</v>
      </c>
      <c r="J48" s="204">
        <f>'3 Byggeår'!M153</f>
        <v>3</v>
      </c>
      <c r="K48" s="204">
        <f>'3 Byggeår'!N153</f>
        <v>3</v>
      </c>
      <c r="L48" s="204">
        <f>'3 Byggeår'!O153</f>
        <v>2.5</v>
      </c>
      <c r="M48" s="204">
        <f>'3 Byggeår'!P153</f>
        <v>3</v>
      </c>
    </row>
    <row r="49" spans="1:13" x14ac:dyDescent="0.25">
      <c r="A49" s="204" t="str">
        <f>'3 Byggeår'!A154</f>
        <v>Ventilasjonsluftmengder [m3/(hm2)]</v>
      </c>
      <c r="B49" s="392" t="str">
        <f>'3 Byggeår'!D154</f>
        <v>1,2</v>
      </c>
      <c r="C49" s="392" t="str">
        <f>'3 Byggeår'!E154</f>
        <v>1,5</v>
      </c>
      <c r="D49" s="217" t="str">
        <f>'3 Byggeår'!G102</f>
        <v>12</v>
      </c>
      <c r="E49" s="217" t="str">
        <f>'3 Byggeår'!H102</f>
        <v>10</v>
      </c>
      <c r="F49" s="217" t="str">
        <f>'3 Byggeår'!I102</f>
        <v>16</v>
      </c>
      <c r="G49" s="217" t="str">
        <f>'3 Byggeår'!J102</f>
        <v>13</v>
      </c>
      <c r="H49" s="217" t="str">
        <f>'3 Byggeår'!K102</f>
        <v>16/3</v>
      </c>
      <c r="I49" s="217" t="str">
        <f>'3 Byggeår'!L102</f>
        <v>14/3</v>
      </c>
      <c r="J49" s="217" t="str">
        <f>'3 Byggeår'!M102</f>
        <v>10</v>
      </c>
      <c r="K49" s="217" t="str">
        <f>'3 Byggeår'!N102</f>
        <v>12</v>
      </c>
      <c r="L49" s="217" t="str">
        <f>'3 Byggeår'!O102</f>
        <v>20</v>
      </c>
      <c r="M49" s="217" t="str">
        <f>'3 Byggeår'!P102</f>
        <v>12</v>
      </c>
    </row>
    <row r="50" spans="1:13" x14ac:dyDescent="0.25">
      <c r="A50" s="204" t="str">
        <f>'3 Byggeår'!A155</f>
        <v>Varmegjenvinning ventilasjon [%]</v>
      </c>
      <c r="B50" s="392">
        <f>'3 Byggeår'!D155</f>
        <v>0</v>
      </c>
      <c r="C50" s="392">
        <f>'3 Byggeår'!E155</f>
        <v>0</v>
      </c>
      <c r="D50" s="204">
        <v>0.6</v>
      </c>
      <c r="E50" s="204">
        <v>0.6</v>
      </c>
      <c r="F50" s="204">
        <v>0.6</v>
      </c>
      <c r="G50" s="204">
        <v>0.6</v>
      </c>
      <c r="H50" s="204">
        <v>0.6</v>
      </c>
      <c r="I50" s="204">
        <v>0.6</v>
      </c>
      <c r="J50" s="204">
        <v>0.6</v>
      </c>
      <c r="K50" s="204">
        <v>0.6</v>
      </c>
      <c r="L50" s="204">
        <v>0.6</v>
      </c>
      <c r="M50" s="204">
        <v>0.6</v>
      </c>
    </row>
    <row r="51" spans="1:13" x14ac:dyDescent="0.25">
      <c r="A51" s="204" t="str">
        <f>'3 Byggeår'!A156</f>
        <v xml:space="preserve">Frostsikringstemperatur [oC] </v>
      </c>
      <c r="B51" s="392" t="str">
        <f>'3 Byggeår'!D156</f>
        <v>Naturlig vent</v>
      </c>
      <c r="C51" s="392" t="str">
        <f>'3 Byggeår'!E156</f>
        <v>Naturlig vent</v>
      </c>
      <c r="D51" s="204">
        <f>'3 Byggeår'!G104</f>
        <v>-2</v>
      </c>
      <c r="E51" s="204">
        <f>'3 Byggeår'!H104</f>
        <v>-2</v>
      </c>
      <c r="F51" s="204">
        <f>'3 Byggeår'!I104</f>
        <v>-2</v>
      </c>
      <c r="G51" s="204">
        <f>'3 Byggeår'!J104</f>
        <v>-2</v>
      </c>
      <c r="H51" s="204">
        <f>'3 Byggeår'!K104</f>
        <v>-2</v>
      </c>
      <c r="I51" s="204">
        <f>'3 Byggeår'!L104</f>
        <v>-2</v>
      </c>
      <c r="J51" s="204">
        <f>'3 Byggeår'!M104</f>
        <v>-2</v>
      </c>
      <c r="K51" s="204">
        <f>'3 Byggeår'!N104</f>
        <v>-2</v>
      </c>
      <c r="L51" s="204">
        <f>'3 Byggeår'!O104</f>
        <v>-2</v>
      </c>
      <c r="M51" s="204">
        <f>'3 Byggeår'!P104</f>
        <v>-2</v>
      </c>
    </row>
    <row r="52" spans="1:13" x14ac:dyDescent="0.25">
      <c r="A52" s="204" t="str">
        <f>'3 Byggeår'!A157</f>
        <v>SFP-faktor [kW/(m3/s)]</v>
      </c>
      <c r="B52" s="392" t="str">
        <f>'3 Byggeår'!D157</f>
        <v>Naturlig vent</v>
      </c>
      <c r="C52" s="392" t="str">
        <f>'3 Byggeår'!E157</f>
        <v>Naturlig vent</v>
      </c>
      <c r="D52" s="204">
        <v>3.5</v>
      </c>
      <c r="E52" s="204">
        <v>3.5</v>
      </c>
      <c r="F52" s="204">
        <v>3.5</v>
      </c>
      <c r="G52" s="204">
        <v>3.5</v>
      </c>
      <c r="H52" s="204">
        <v>3.5</v>
      </c>
      <c r="I52" s="204">
        <v>3.5</v>
      </c>
      <c r="J52" s="204">
        <v>3.5</v>
      </c>
      <c r="K52" s="204">
        <v>3.5</v>
      </c>
      <c r="L52" s="204">
        <v>3.5</v>
      </c>
      <c r="M52" s="204">
        <v>3.5</v>
      </c>
    </row>
    <row r="53" spans="1:13" x14ac:dyDescent="0.25">
      <c r="A53" s="204" t="str">
        <f>'3 Byggeår'!A158</f>
        <v>Natt- og helgesenkning</v>
      </c>
      <c r="B53" s="204" t="str">
        <f>'3 Byggeår'!D158</f>
        <v>Nei</v>
      </c>
      <c r="C53" s="204" t="str">
        <f>'3 Byggeår'!E158</f>
        <v>Nei</v>
      </c>
      <c r="D53" s="204" t="str">
        <f>'3 Byggeår'!G158</f>
        <v>Nei</v>
      </c>
      <c r="E53" s="204" t="str">
        <f>'3 Byggeår'!H158</f>
        <v>Nei</v>
      </c>
      <c r="F53" s="204" t="str">
        <f>'3 Byggeår'!I158</f>
        <v>Nei</v>
      </c>
      <c r="G53" s="204" t="str">
        <f>'3 Byggeår'!J158</f>
        <v>Nei</v>
      </c>
      <c r="H53" s="204" t="str">
        <f>'3 Byggeår'!K158</f>
        <v>Nei</v>
      </c>
      <c r="I53" s="204" t="str">
        <f>'3 Byggeår'!L158</f>
        <v>Nei</v>
      </c>
      <c r="J53" s="204" t="str">
        <f>'3 Byggeår'!M158</f>
        <v>Nei</v>
      </c>
      <c r="K53" s="204" t="str">
        <f>'3 Byggeår'!N158</f>
        <v>Nei</v>
      </c>
      <c r="L53" s="204" t="str">
        <f>'3 Byggeår'!O158</f>
        <v>Nei</v>
      </c>
      <c r="M53" s="204" t="str">
        <f>'3 Byggeår'!P158</f>
        <v>Nei</v>
      </c>
    </row>
    <row r="54" spans="1:13" x14ac:dyDescent="0.25">
      <c r="A54" s="204" t="str">
        <f>'3 Byggeår'!A159</f>
        <v>Solavskjerming for elimin. lokalkjøling</v>
      </c>
      <c r="B54" s="204" t="str">
        <f>'3 Byggeår'!D159</f>
        <v>Ingen kjøling</v>
      </c>
      <c r="C54" s="204" t="str">
        <f>'3 Byggeår'!E159</f>
        <v>Ingen kjøling</v>
      </c>
      <c r="D54" s="204" t="str">
        <f>'3 Byggeår'!G159</f>
        <v>Ja, manuell</v>
      </c>
      <c r="E54" s="204" t="str">
        <f>'3 Byggeår'!H159</f>
        <v>Ja, manuell</v>
      </c>
      <c r="F54" s="204" t="str">
        <f>'3 Byggeår'!I159</f>
        <v>Ja, manuell</v>
      </c>
      <c r="G54" s="204" t="str">
        <f>'3 Byggeår'!J159</f>
        <v>Ja, manuell</v>
      </c>
      <c r="H54" s="204" t="str">
        <f>'3 Byggeår'!K159</f>
        <v>Ja, manuell</v>
      </c>
      <c r="I54" s="204" t="str">
        <f>'3 Byggeår'!L159</f>
        <v>Ja, manuell</v>
      </c>
      <c r="J54" s="204" t="str">
        <f>'3 Byggeår'!M159</f>
        <v>Ja, manuell</v>
      </c>
      <c r="K54" s="204" t="str">
        <f>'3 Byggeår'!N159</f>
        <v>Ja, manuell</v>
      </c>
      <c r="L54" s="204" t="str">
        <f>'3 Byggeår'!O159</f>
        <v>Ja, manuell</v>
      </c>
      <c r="M54" s="204" t="str">
        <f>'3 Byggeår'!P159</f>
        <v>Ja, manuell</v>
      </c>
    </row>
    <row r="55" spans="1:13" x14ac:dyDescent="0.25">
      <c r="A55" s="204" t="str">
        <f>'3 Byggeår'!A160</f>
        <v>Installert kjøleeffekt ventilasjon [W/m2]</v>
      </c>
      <c r="B55" s="204">
        <f>'3 Byggeår'!D160</f>
        <v>0</v>
      </c>
      <c r="C55" s="204">
        <f>'3 Byggeår'!E160</f>
        <v>0</v>
      </c>
      <c r="D55" s="204">
        <f>'3 Byggeår'!G160</f>
        <v>0</v>
      </c>
      <c r="E55" s="204">
        <f>'3 Byggeår'!H160</f>
        <v>60</v>
      </c>
      <c r="F55" s="204">
        <f>'3 Byggeår'!I160</f>
        <v>0</v>
      </c>
      <c r="G55" s="204">
        <f>'3 Byggeår'!J160</f>
        <v>70</v>
      </c>
      <c r="H55" s="204">
        <f>'3 Byggeår'!K160</f>
        <v>90</v>
      </c>
      <c r="I55" s="204">
        <f>'3 Byggeår'!L160</f>
        <v>0</v>
      </c>
      <c r="J55" s="204">
        <f>'3 Byggeår'!M160</f>
        <v>125</v>
      </c>
      <c r="K55" s="204">
        <f>'3 Byggeår'!N160</f>
        <v>0</v>
      </c>
      <c r="L55" s="204">
        <f>'3 Byggeår'!O160</f>
        <v>100</v>
      </c>
      <c r="M55" s="204">
        <f>'3 Byggeår'!P160</f>
        <v>70</v>
      </c>
    </row>
    <row r="56" spans="1:13" x14ac:dyDescent="0.25">
      <c r="A56" s="204" t="str">
        <f>'3 Byggeår'!A161</f>
        <v>Internlaster, belysning [W/m2]</v>
      </c>
      <c r="B56" s="204">
        <f>'3 Byggeår'!D161</f>
        <v>1.95</v>
      </c>
      <c r="C56" s="204">
        <f>'3 Byggeår'!E161</f>
        <v>1.95</v>
      </c>
      <c r="D56" s="204">
        <f>'3 Byggeår'!G161</f>
        <v>12</v>
      </c>
      <c r="E56" s="204">
        <f>'3 Byggeår'!H161</f>
        <v>12</v>
      </c>
      <c r="F56" s="204">
        <f>'3 Byggeår'!I161</f>
        <v>15</v>
      </c>
      <c r="G56" s="204">
        <f>'3 Byggeår'!J161</f>
        <v>12</v>
      </c>
      <c r="H56" s="204">
        <f>'3 Byggeår'!K161</f>
        <v>12</v>
      </c>
      <c r="I56" s="204">
        <f>'3 Byggeår'!L161</f>
        <v>12</v>
      </c>
      <c r="J56" s="204">
        <f>'3 Byggeår'!M161</f>
        <v>12</v>
      </c>
      <c r="K56" s="204">
        <f>'3 Byggeår'!N161</f>
        <v>12</v>
      </c>
      <c r="L56" s="204">
        <f>'3 Byggeår'!O161</f>
        <v>22.5</v>
      </c>
      <c r="M56" s="204">
        <f>'3 Byggeår'!P161</f>
        <v>12</v>
      </c>
    </row>
    <row r="57" spans="1:13" x14ac:dyDescent="0.25">
      <c r="A57" s="204" t="str">
        <f>'3 Byggeår'!A162</f>
        <v xml:space="preserve">                        , utstyr [W/m2]</v>
      </c>
      <c r="B57" s="204">
        <f>'3 Byggeår'!D162</f>
        <v>3</v>
      </c>
      <c r="C57" s="204">
        <f>'3 Byggeår'!E162</f>
        <v>3</v>
      </c>
      <c r="D57" s="204">
        <f>'3 Byggeår'!G162</f>
        <v>2</v>
      </c>
      <c r="E57" s="204">
        <f>'3 Byggeår'!H162</f>
        <v>11</v>
      </c>
      <c r="F57" s="204">
        <f>'3 Byggeår'!I162</f>
        <v>6</v>
      </c>
      <c r="G57" s="204">
        <f>'3 Byggeår'!J162</f>
        <v>11</v>
      </c>
      <c r="H57" s="204">
        <f>'3 Byggeår'!K162</f>
        <v>8</v>
      </c>
      <c r="I57" s="204">
        <f>'3 Byggeår'!L162</f>
        <v>4</v>
      </c>
      <c r="J57" s="204">
        <f>'3 Byggeår'!M162</f>
        <v>1</v>
      </c>
      <c r="K57" s="204">
        <f>'3 Byggeår'!N162</f>
        <v>1</v>
      </c>
      <c r="L57" s="204">
        <f>'3 Byggeår'!O162</f>
        <v>1</v>
      </c>
      <c r="M57" s="204">
        <f>'3 Byggeår'!P162</f>
        <v>1</v>
      </c>
    </row>
    <row r="58" spans="1:13" x14ac:dyDescent="0.25">
      <c r="A58" s="204" t="str">
        <f>'3 Byggeår'!A163</f>
        <v xml:space="preserve">                        , varmtvann [W/m2]</v>
      </c>
      <c r="B58" s="204">
        <f>'3 Byggeår'!D163</f>
        <v>5.0999999999999996</v>
      </c>
      <c r="C58" s="204">
        <f>'3 Byggeår'!E163</f>
        <v>5.0999999999999996</v>
      </c>
      <c r="D58" s="204">
        <f>'3 Byggeår'!G163</f>
        <v>3.8</v>
      </c>
      <c r="E58" s="204">
        <f>'3 Byggeår'!H163</f>
        <v>1.6</v>
      </c>
      <c r="F58" s="204">
        <f>'3 Byggeår'!I163</f>
        <v>4.5</v>
      </c>
      <c r="G58" s="204">
        <f>'3 Byggeår'!J163</f>
        <v>1.6</v>
      </c>
      <c r="H58" s="204">
        <f>'3 Byggeår'!K163</f>
        <v>5.0999999999999996</v>
      </c>
      <c r="I58" s="204">
        <f>'3 Byggeår'!L163</f>
        <v>5.0999999999999996</v>
      </c>
      <c r="J58" s="204">
        <f>'3 Byggeår'!M163</f>
        <v>5.0999999999999996</v>
      </c>
      <c r="K58" s="204">
        <f>'3 Byggeår'!N163</f>
        <v>18.899999999999999</v>
      </c>
      <c r="L58" s="204">
        <f>'3 Byggeår'!O163</f>
        <v>2.7</v>
      </c>
      <c r="M58" s="204">
        <f>'3 Byggeår'!P163</f>
        <v>3.5</v>
      </c>
    </row>
    <row r="59" spans="1:13" x14ac:dyDescent="0.25">
      <c r="A59" s="204" t="str">
        <f>'3 Byggeår'!A164</f>
        <v>Varmetilskudd, personer [W/m2]</v>
      </c>
      <c r="B59" s="204">
        <f>'3 Byggeår'!D164</f>
        <v>1.5</v>
      </c>
      <c r="C59" s="204">
        <f>'3 Byggeår'!E164</f>
        <v>1.5</v>
      </c>
      <c r="D59" s="204">
        <f>'3 Byggeår'!G164</f>
        <v>6</v>
      </c>
      <c r="E59" s="204">
        <f>'3 Byggeår'!H164</f>
        <v>4</v>
      </c>
      <c r="F59" s="204">
        <f>'3 Byggeår'!I164</f>
        <v>12</v>
      </c>
      <c r="G59" s="204">
        <f>'3 Byggeår'!J164</f>
        <v>6</v>
      </c>
      <c r="H59" s="204">
        <f>'3 Byggeår'!K164</f>
        <v>2</v>
      </c>
      <c r="I59" s="204">
        <f>'3 Byggeår'!L164</f>
        <v>3</v>
      </c>
      <c r="J59" s="204">
        <f>'3 Byggeår'!M164</f>
        <v>2</v>
      </c>
      <c r="K59" s="204">
        <f>'3 Byggeår'!N164</f>
        <v>10</v>
      </c>
      <c r="L59" s="204">
        <f>'3 Byggeår'!O164</f>
        <v>10</v>
      </c>
      <c r="M59" s="204">
        <f>'3 Byggeår'!P164</f>
        <v>3.2</v>
      </c>
    </row>
    <row r="60" spans="1:13" x14ac:dyDescent="0.25">
      <c r="A60" s="204" t="str">
        <f>'3 Byggeår'!A165</f>
        <v>Solskjerming solfaktor, fast  / ikke aktivisert stilling</v>
      </c>
      <c r="B60" s="204">
        <f>'3 Byggeår'!D165</f>
        <v>0.75</v>
      </c>
      <c r="C60" s="204">
        <f>'3 Byggeår'!E165</f>
        <v>0.75</v>
      </c>
      <c r="D60" s="204">
        <f>'3 Byggeår'!G165</f>
        <v>0.75</v>
      </c>
      <c r="E60" s="204">
        <f>'3 Byggeår'!H165</f>
        <v>0.75</v>
      </c>
      <c r="F60" s="204">
        <f>'3 Byggeår'!I165</f>
        <v>0.75</v>
      </c>
      <c r="G60" s="204">
        <f>'3 Byggeår'!J165</f>
        <v>0.75</v>
      </c>
      <c r="H60" s="204">
        <f>'3 Byggeår'!K165</f>
        <v>0.75</v>
      </c>
      <c r="I60" s="204">
        <f>'3 Byggeår'!L165</f>
        <v>0.75</v>
      </c>
      <c r="J60" s="204">
        <f>'3 Byggeår'!M165</f>
        <v>0.75</v>
      </c>
      <c r="K60" s="204">
        <f>'3 Byggeår'!N165</f>
        <v>0.75</v>
      </c>
      <c r="L60" s="204">
        <f>'3 Byggeår'!O165</f>
        <v>0.75</v>
      </c>
      <c r="M60" s="204">
        <f>'3 Byggeår'!P165</f>
        <v>0.75</v>
      </c>
    </row>
    <row r="61" spans="1:13" x14ac:dyDescent="0.25">
      <c r="A61" s="204" t="str">
        <f>'3 Byggeår'!A166</f>
        <v xml:space="preserve">                                         , aktivisert stilling</v>
      </c>
      <c r="B61" s="204" t="str">
        <f>'3 Byggeår'!D166</f>
        <v>-</v>
      </c>
      <c r="C61" s="204" t="str">
        <f>'3 Byggeår'!E166</f>
        <v>-</v>
      </c>
      <c r="D61" s="204" t="str">
        <f>'3 Byggeår'!G166</f>
        <v>-</v>
      </c>
      <c r="E61" s="204">
        <f>'3 Byggeår'!H166</f>
        <v>0.15</v>
      </c>
      <c r="F61" s="204">
        <f>'3 Byggeår'!I166</f>
        <v>0.15</v>
      </c>
      <c r="G61" s="204">
        <f>'3 Byggeår'!J166</f>
        <v>0.15</v>
      </c>
      <c r="H61" s="204">
        <f>'3 Byggeår'!K166</f>
        <v>0.15</v>
      </c>
      <c r="I61" s="204">
        <f>'3 Byggeår'!L166</f>
        <v>0.15</v>
      </c>
      <c r="J61" s="204">
        <f>'3 Byggeår'!M166</f>
        <v>0.15</v>
      </c>
      <c r="K61" s="204">
        <f>'3 Byggeår'!N166</f>
        <v>0.15</v>
      </c>
      <c r="L61" s="204">
        <f>'3 Byggeår'!O166</f>
        <v>0.15</v>
      </c>
      <c r="M61" s="204">
        <f>'3 Byggeår'!P166</f>
        <v>0.15</v>
      </c>
    </row>
    <row r="62" spans="1:13" x14ac:dyDescent="0.25">
      <c r="A62" s="204" t="str">
        <f>'3 Byggeår'!A167</f>
        <v xml:space="preserve">                                         , automatisk solskj.e. solflux</v>
      </c>
      <c r="B62" s="204" t="str">
        <f>'3 Byggeår'!D167</f>
        <v>-</v>
      </c>
      <c r="C62" s="204" t="str">
        <f>'3 Byggeår'!E167</f>
        <v>-</v>
      </c>
      <c r="D62" s="204" t="str">
        <f>'3 Byggeår'!G167</f>
        <v>-</v>
      </c>
      <c r="E62" s="204" t="str">
        <f>'3 Byggeår'!H167</f>
        <v>Nei</v>
      </c>
      <c r="F62" s="204" t="str">
        <f>'3 Byggeår'!I167</f>
        <v>Nei</v>
      </c>
      <c r="G62" s="204" t="str">
        <f>'3 Byggeår'!J167</f>
        <v>Nei</v>
      </c>
      <c r="H62" s="204" t="str">
        <f>'3 Byggeår'!K167</f>
        <v>Nei</v>
      </c>
      <c r="I62" s="204" t="str">
        <f>'3 Byggeår'!L167</f>
        <v>Nei</v>
      </c>
      <c r="J62" s="204" t="str">
        <f>'3 Byggeår'!M167</f>
        <v>Nei</v>
      </c>
      <c r="K62" s="204" t="str">
        <f>'3 Byggeår'!N167</f>
        <v>Nei</v>
      </c>
      <c r="L62" s="204" t="str">
        <f>'3 Byggeår'!O167</f>
        <v>Nei</v>
      </c>
      <c r="M62" s="204" t="str">
        <f>'3 Byggeår'!P167</f>
        <v>Nei</v>
      </c>
    </row>
    <row r="63" spans="1:13" s="204" customFormat="1" ht="12.75" x14ac:dyDescent="0.2">
      <c r="A63" s="390" t="s">
        <v>478</v>
      </c>
      <c r="B63" s="204" t="s">
        <v>312</v>
      </c>
      <c r="C63" s="204" t="s">
        <v>312</v>
      </c>
      <c r="D63" s="204" t="s">
        <v>312</v>
      </c>
      <c r="E63" s="204" t="s">
        <v>312</v>
      </c>
      <c r="F63" s="204" t="s">
        <v>312</v>
      </c>
      <c r="G63" s="204" t="s">
        <v>312</v>
      </c>
      <c r="H63" s="204" t="s">
        <v>312</v>
      </c>
      <c r="I63" s="204" t="s">
        <v>312</v>
      </c>
      <c r="J63" s="204" t="s">
        <v>312</v>
      </c>
      <c r="K63" s="204" t="s">
        <v>312</v>
      </c>
      <c r="L63" s="204" t="s">
        <v>312</v>
      </c>
      <c r="M63" s="204" t="s">
        <v>312</v>
      </c>
    </row>
    <row r="64" spans="1:13" x14ac:dyDescent="0.25">
      <c r="A64" s="388" t="s">
        <v>479</v>
      </c>
      <c r="B64" s="391">
        <f>B29+1.5</f>
        <v>17.5</v>
      </c>
      <c r="C64" s="391">
        <f t="shared" ref="C64:D64" si="0">C29+1.5</f>
        <v>17.5</v>
      </c>
      <c r="D64" s="391">
        <f t="shared" si="0"/>
        <v>11.5</v>
      </c>
      <c r="E64" s="391">
        <f t="shared" ref="E64:G64" si="1">E29+1.5</f>
        <v>13.5</v>
      </c>
      <c r="F64" s="391">
        <f t="shared" si="1"/>
        <v>11.5</v>
      </c>
      <c r="G64" s="391">
        <f t="shared" si="1"/>
        <v>13.5</v>
      </c>
      <c r="H64" s="391">
        <f t="shared" ref="H64:K64" si="2">H29+1.5</f>
        <v>17.5</v>
      </c>
      <c r="I64" s="391">
        <f t="shared" si="2"/>
        <v>17.5</v>
      </c>
      <c r="J64" s="391">
        <f t="shared" si="2"/>
        <v>17.5</v>
      </c>
      <c r="K64" s="391">
        <f t="shared" si="2"/>
        <v>13.5</v>
      </c>
      <c r="L64" s="391">
        <f t="shared" ref="L64:M64" si="3">L29+1.5</f>
        <v>13.5</v>
      </c>
      <c r="M64" s="391">
        <f t="shared" si="3"/>
        <v>12.5</v>
      </c>
    </row>
    <row r="65" spans="1:13" x14ac:dyDescent="0.25">
      <c r="A65" s="388" t="s">
        <v>481</v>
      </c>
      <c r="B65" s="391">
        <v>24</v>
      </c>
      <c r="C65" s="391">
        <v>24</v>
      </c>
      <c r="D65" s="391">
        <f t="shared" ref="D65:G65" si="4">D30+1.5</f>
        <v>11.5</v>
      </c>
      <c r="E65" s="391">
        <f t="shared" si="4"/>
        <v>13.5</v>
      </c>
      <c r="F65" s="391">
        <f t="shared" si="4"/>
        <v>11.5</v>
      </c>
      <c r="G65" s="391">
        <f t="shared" si="4"/>
        <v>13.5</v>
      </c>
      <c r="H65" s="391">
        <f t="shared" ref="H65:K66" si="5">H30+1.5</f>
        <v>17.5</v>
      </c>
      <c r="I65" s="391">
        <f t="shared" si="5"/>
        <v>17.5</v>
      </c>
      <c r="J65" s="391">
        <f t="shared" si="5"/>
        <v>17.5</v>
      </c>
      <c r="K65" s="391">
        <f t="shared" si="5"/>
        <v>13.5</v>
      </c>
      <c r="L65" s="391">
        <f t="shared" ref="L65:M65" si="6">L30+1.5</f>
        <v>13.5</v>
      </c>
      <c r="M65" s="391">
        <f t="shared" si="6"/>
        <v>12.5</v>
      </c>
    </row>
    <row r="66" spans="1:13" x14ac:dyDescent="0.25">
      <c r="A66" s="388" t="s">
        <v>480</v>
      </c>
      <c r="B66" s="391">
        <v>24</v>
      </c>
      <c r="C66" s="391">
        <v>24</v>
      </c>
      <c r="D66" s="391">
        <f t="shared" ref="D66:G66" si="7">D31+1.5</f>
        <v>11.5</v>
      </c>
      <c r="E66" s="391">
        <f t="shared" si="7"/>
        <v>13.5</v>
      </c>
      <c r="F66" s="391">
        <f t="shared" si="7"/>
        <v>11.5</v>
      </c>
      <c r="G66" s="391">
        <f t="shared" si="7"/>
        <v>13.5</v>
      </c>
      <c r="H66" s="391">
        <v>24</v>
      </c>
      <c r="I66" s="391">
        <v>24</v>
      </c>
      <c r="J66" s="391">
        <v>24</v>
      </c>
      <c r="K66" s="391">
        <f t="shared" si="5"/>
        <v>13.5</v>
      </c>
      <c r="L66" s="391">
        <f t="shared" ref="L66:M66" si="8">L31+1.5</f>
        <v>13.5</v>
      </c>
      <c r="M66" s="391">
        <f t="shared" si="8"/>
        <v>12.5</v>
      </c>
    </row>
    <row r="67" spans="1:13" x14ac:dyDescent="0.25">
      <c r="A67" s="388" t="s">
        <v>482</v>
      </c>
      <c r="B67" s="391">
        <f>B32+1</f>
        <v>22</v>
      </c>
      <c r="C67" s="391">
        <f t="shared" ref="C67:M67" si="9">C32+1</f>
        <v>22</v>
      </c>
      <c r="D67" s="391">
        <f t="shared" si="9"/>
        <v>22</v>
      </c>
      <c r="E67" s="391">
        <f t="shared" si="9"/>
        <v>22</v>
      </c>
      <c r="F67" s="391">
        <f t="shared" si="9"/>
        <v>22</v>
      </c>
      <c r="G67" s="391">
        <f t="shared" si="9"/>
        <v>22</v>
      </c>
      <c r="H67" s="391">
        <f t="shared" si="9"/>
        <v>22</v>
      </c>
      <c r="I67" s="391">
        <f t="shared" si="9"/>
        <v>22</v>
      </c>
      <c r="J67" s="391">
        <f t="shared" si="9"/>
        <v>22</v>
      </c>
      <c r="K67" s="391">
        <f t="shared" si="9"/>
        <v>20</v>
      </c>
      <c r="L67" s="391">
        <f t="shared" si="9"/>
        <v>22</v>
      </c>
      <c r="M67" s="391">
        <f t="shared" si="9"/>
        <v>22</v>
      </c>
    </row>
    <row r="68" spans="1:13" x14ac:dyDescent="0.25">
      <c r="A68" s="388" t="s">
        <v>484</v>
      </c>
      <c r="B68" s="391">
        <f>B67</f>
        <v>22</v>
      </c>
      <c r="C68" s="391">
        <f t="shared" ref="C68:M68" si="10">C67</f>
        <v>22</v>
      </c>
      <c r="D68" s="391">
        <f t="shared" si="10"/>
        <v>22</v>
      </c>
      <c r="E68" s="391">
        <f t="shared" si="10"/>
        <v>22</v>
      </c>
      <c r="F68" s="391">
        <f t="shared" si="10"/>
        <v>22</v>
      </c>
      <c r="G68" s="391">
        <f t="shared" si="10"/>
        <v>22</v>
      </c>
      <c r="H68" s="391">
        <f t="shared" si="10"/>
        <v>22</v>
      </c>
      <c r="I68" s="391">
        <f t="shared" si="10"/>
        <v>22</v>
      </c>
      <c r="J68" s="391">
        <f t="shared" si="10"/>
        <v>22</v>
      </c>
      <c r="K68" s="391">
        <f t="shared" si="10"/>
        <v>20</v>
      </c>
      <c r="L68" s="391">
        <f t="shared" si="10"/>
        <v>22</v>
      </c>
      <c r="M68" s="391">
        <f t="shared" si="10"/>
        <v>22</v>
      </c>
    </row>
    <row r="69" spans="1:13" x14ac:dyDescent="0.25">
      <c r="A69" s="388" t="s">
        <v>485</v>
      </c>
      <c r="B69" s="391">
        <f>B34+1</f>
        <v>19</v>
      </c>
      <c r="C69" s="391">
        <f t="shared" ref="C69:M69" si="11">C34+1</f>
        <v>19</v>
      </c>
      <c r="D69" s="391">
        <f t="shared" si="11"/>
        <v>19</v>
      </c>
      <c r="E69" s="391">
        <f t="shared" si="11"/>
        <v>19</v>
      </c>
      <c r="F69" s="391">
        <f t="shared" si="11"/>
        <v>19</v>
      </c>
      <c r="G69" s="391">
        <f t="shared" si="11"/>
        <v>19</v>
      </c>
      <c r="H69" s="391">
        <f t="shared" si="11"/>
        <v>19</v>
      </c>
      <c r="I69" s="391">
        <f t="shared" si="11"/>
        <v>19</v>
      </c>
      <c r="J69" s="391">
        <f t="shared" si="11"/>
        <v>19</v>
      </c>
      <c r="K69" s="391">
        <f t="shared" si="11"/>
        <v>19</v>
      </c>
      <c r="L69" s="391">
        <f t="shared" si="11"/>
        <v>19</v>
      </c>
      <c r="M69" s="391">
        <f t="shared" si="11"/>
        <v>19</v>
      </c>
    </row>
    <row r="70" spans="1:13" x14ac:dyDescent="0.25">
      <c r="A70" s="388" t="s">
        <v>483</v>
      </c>
      <c r="B70" s="394" t="s">
        <v>15</v>
      </c>
      <c r="C70" s="394" t="s">
        <v>15</v>
      </c>
      <c r="D70" s="394" t="s">
        <v>15</v>
      </c>
      <c r="E70" s="391">
        <f>E35-1</f>
        <v>15</v>
      </c>
      <c r="F70" s="394" t="s">
        <v>15</v>
      </c>
      <c r="G70" s="391">
        <f>G35-1</f>
        <v>15</v>
      </c>
      <c r="H70" s="391">
        <f>H35-1</f>
        <v>15</v>
      </c>
      <c r="I70" s="394" t="s">
        <v>15</v>
      </c>
      <c r="J70" s="391">
        <f>J35-1</f>
        <v>15</v>
      </c>
      <c r="K70" s="394" t="s">
        <v>15</v>
      </c>
      <c r="L70" s="391">
        <f>L35-1</f>
        <v>15</v>
      </c>
      <c r="M70" s="391">
        <f>M35-1</f>
        <v>15</v>
      </c>
    </row>
    <row r="73" spans="1:13" s="388" customFormat="1" x14ac:dyDescent="0.25">
      <c r="A73" s="396" t="s">
        <v>425</v>
      </c>
      <c r="B73" s="390" t="str">
        <f>'3 Byggeår'!D197</f>
        <v>Småhus</v>
      </c>
      <c r="C73" s="390" t="str">
        <f>'3 Byggeår'!E197</f>
        <v>Boligblokk</v>
      </c>
      <c r="D73" s="390" t="str">
        <f>'3 Byggeår'!G197</f>
        <v>Barnehage</v>
      </c>
      <c r="E73" s="390" t="str">
        <f>'3 Byggeår'!H197</f>
        <v>Kontorbygning</v>
      </c>
      <c r="F73" s="390" t="str">
        <f>'3 Byggeår'!I197</f>
        <v>Skolebygning</v>
      </c>
      <c r="G73" s="390" t="str">
        <f>'3 Byggeår'!J197</f>
        <v>Universitets- og høgskolebygning</v>
      </c>
      <c r="H73" s="390" t="str">
        <f>'3 Byggeår'!K197</f>
        <v>Sykehus</v>
      </c>
      <c r="I73" s="390" t="str">
        <f>'3 Byggeår'!L197</f>
        <v>Sykehjem</v>
      </c>
      <c r="J73" s="390" t="str">
        <f>'3 Byggeår'!M197</f>
        <v>Hotellbygning</v>
      </c>
      <c r="K73" s="390" t="str">
        <f>'3 Byggeår'!N197</f>
        <v>Idrettsbygning</v>
      </c>
      <c r="L73" s="390" t="str">
        <f>'3 Byggeår'!O197</f>
        <v>Forretningsbygning</v>
      </c>
      <c r="M73" s="390" t="str">
        <f>'3 Byggeår'!P197</f>
        <v>Kulturbygning</v>
      </c>
    </row>
    <row r="74" spans="1:13" s="388" customFormat="1" x14ac:dyDescent="0.25"/>
    <row r="75" spans="1:13" s="390" customFormat="1" ht="12.75" x14ac:dyDescent="0.2">
      <c r="A75" s="390" t="str">
        <f>'3 Byggeår'!A197</f>
        <v>Energitiltak</v>
      </c>
    </row>
    <row r="76" spans="1:13" s="204" customFormat="1" x14ac:dyDescent="0.25">
      <c r="A76" s="388" t="s">
        <v>477</v>
      </c>
    </row>
    <row r="77" spans="1:13" s="204" customFormat="1" ht="12.75" x14ac:dyDescent="0.2">
      <c r="A77" s="204" t="str">
        <f>'3 Byggeår'!A199</f>
        <v xml:space="preserve">Begrensning glass/vindu/dørareal </v>
      </c>
      <c r="B77" s="204">
        <f>'3 Byggeår'!D199</f>
        <v>0.2</v>
      </c>
      <c r="C77" s="204">
        <f>'3 Byggeår'!E199</f>
        <v>0.2</v>
      </c>
      <c r="D77" s="204">
        <f>'3 Byggeår'!G199</f>
        <v>0.2</v>
      </c>
      <c r="E77" s="204">
        <f>'3 Byggeår'!H199</f>
        <v>0.2</v>
      </c>
      <c r="F77" s="204">
        <f>'3 Byggeår'!I199</f>
        <v>0.2</v>
      </c>
      <c r="G77" s="204">
        <f>'3 Byggeår'!J199</f>
        <v>0.2</v>
      </c>
      <c r="H77" s="204">
        <f>'3 Byggeår'!K199</f>
        <v>0.2</v>
      </c>
      <c r="I77" s="204">
        <f>'3 Byggeår'!L199</f>
        <v>0.2</v>
      </c>
      <c r="J77" s="204">
        <f>'3 Byggeår'!M199</f>
        <v>0.2</v>
      </c>
      <c r="K77" s="204">
        <f>'3 Byggeår'!N199</f>
        <v>0.2</v>
      </c>
      <c r="L77" s="204">
        <f>'3 Byggeår'!O199</f>
        <v>0.2</v>
      </c>
      <c r="M77" s="204">
        <f>'3 Byggeår'!P199</f>
        <v>0.2</v>
      </c>
    </row>
    <row r="78" spans="1:13" s="204" customFormat="1" ht="12.75" x14ac:dyDescent="0.2">
      <c r="A78" s="204" t="str">
        <f>'3 Byggeår'!A200</f>
        <v>U-verdi yttervegg [W/m2K]</v>
      </c>
      <c r="B78" s="204">
        <f>'3 Byggeår'!D200</f>
        <v>0.96</v>
      </c>
      <c r="C78" s="204">
        <f>'3 Byggeår'!E200</f>
        <v>1.3</v>
      </c>
      <c r="D78" s="204">
        <f>'3 Byggeår'!G200</f>
        <v>0.96</v>
      </c>
      <c r="E78" s="204">
        <f>'3 Byggeår'!H200</f>
        <v>1.3</v>
      </c>
      <c r="F78" s="204">
        <f>'3 Byggeår'!I200</f>
        <v>1.3</v>
      </c>
      <c r="G78" s="204">
        <f>'3 Byggeår'!J200</f>
        <v>1.3</v>
      </c>
      <c r="H78" s="204">
        <f>'3 Byggeår'!K200</f>
        <v>1.3</v>
      </c>
      <c r="I78" s="204">
        <f>'3 Byggeår'!L200</f>
        <v>0.96</v>
      </c>
      <c r="J78" s="204">
        <f>'3 Byggeår'!M200</f>
        <v>1.3</v>
      </c>
      <c r="K78" s="204">
        <f>'3 Byggeår'!N200</f>
        <v>1.3</v>
      </c>
      <c r="L78" s="204">
        <f>'3 Byggeår'!O200</f>
        <v>1.3</v>
      </c>
      <c r="M78" s="204">
        <f>'3 Byggeår'!P200</f>
        <v>1.3</v>
      </c>
    </row>
    <row r="79" spans="1:13" s="204" customFormat="1" ht="12.75" x14ac:dyDescent="0.2">
      <c r="A79" s="204" t="str">
        <f>'3 Byggeår'!A201</f>
        <v>U-verdi gulv [W/m2K]</v>
      </c>
      <c r="B79" s="204">
        <f>'3 Byggeår'!D201</f>
        <v>0.61</v>
      </c>
      <c r="C79" s="204">
        <f>'3 Byggeår'!E201</f>
        <v>0.55000000000000004</v>
      </c>
      <c r="D79" s="204">
        <f>'3 Byggeår'!G201</f>
        <v>0.6</v>
      </c>
      <c r="E79" s="204">
        <f>'3 Byggeår'!H201</f>
        <v>0.6</v>
      </c>
      <c r="F79" s="204">
        <f>'3 Byggeår'!I201</f>
        <v>0.6</v>
      </c>
      <c r="G79" s="204">
        <f>'3 Byggeår'!J201</f>
        <v>0.6</v>
      </c>
      <c r="H79" s="204">
        <f>'3 Byggeår'!K201</f>
        <v>0.6</v>
      </c>
      <c r="I79" s="204">
        <f>'3 Byggeår'!L201</f>
        <v>0.6</v>
      </c>
      <c r="J79" s="204">
        <f>'3 Byggeår'!M201</f>
        <v>0.6</v>
      </c>
      <c r="K79" s="204">
        <f>'3 Byggeår'!N201</f>
        <v>0.6</v>
      </c>
      <c r="L79" s="204">
        <f>'3 Byggeår'!O201</f>
        <v>0.6</v>
      </c>
      <c r="M79" s="204">
        <f>'3 Byggeår'!P201</f>
        <v>0.6</v>
      </c>
    </row>
    <row r="80" spans="1:13" s="204" customFormat="1" ht="12.75" x14ac:dyDescent="0.2">
      <c r="A80" s="204" t="str">
        <f>'3 Byggeår'!A202</f>
        <v>U-verdi tak [W/m2K]</v>
      </c>
      <c r="B80" s="204">
        <f>'3 Byggeår'!D202</f>
        <v>0.81</v>
      </c>
      <c r="C80" s="204">
        <f>'3 Byggeår'!E202</f>
        <v>0.81</v>
      </c>
      <c r="D80" s="204">
        <f>'3 Byggeår'!G202</f>
        <v>0.81</v>
      </c>
      <c r="E80" s="253">
        <f>'3 Byggeår'!H202</f>
        <v>1</v>
      </c>
      <c r="F80" s="204">
        <f>'3 Byggeår'!I202</f>
        <v>1</v>
      </c>
      <c r="G80" s="204">
        <f>'3 Byggeår'!J202</f>
        <v>1</v>
      </c>
      <c r="H80" s="204">
        <f>'3 Byggeår'!K202</f>
        <v>1</v>
      </c>
      <c r="I80" s="204">
        <f>'3 Byggeår'!L202</f>
        <v>0.81</v>
      </c>
      <c r="J80" s="204">
        <f>'3 Byggeår'!M202</f>
        <v>1</v>
      </c>
      <c r="K80" s="204">
        <f>'3 Byggeår'!N202</f>
        <v>1</v>
      </c>
      <c r="L80" s="204">
        <f>'3 Byggeår'!O202</f>
        <v>1</v>
      </c>
      <c r="M80" s="204">
        <f>'3 Byggeår'!P202</f>
        <v>1</v>
      </c>
    </row>
    <row r="81" spans="1:13" s="204" customFormat="1" ht="12.75" x14ac:dyDescent="0.2">
      <c r="A81" s="204" t="str">
        <f>'3 Byggeår'!A203</f>
        <v>U-verdi vinduer/ dører [W/m2K]</v>
      </c>
      <c r="B81" s="204">
        <f>'3 Byggeår'!D203</f>
        <v>2.8</v>
      </c>
      <c r="C81" s="204">
        <f>'3 Byggeår'!E203</f>
        <v>2.8</v>
      </c>
      <c r="D81" s="204">
        <f>'3 Byggeår'!G203</f>
        <v>2.8</v>
      </c>
      <c r="E81" s="204">
        <f>'3 Byggeår'!H203</f>
        <v>2.8</v>
      </c>
      <c r="F81" s="204">
        <f>'3 Byggeår'!I203</f>
        <v>2.8</v>
      </c>
      <c r="G81" s="204">
        <f>'3 Byggeår'!J203</f>
        <v>2.8</v>
      </c>
      <c r="H81" s="204">
        <f>'3 Byggeår'!K203</f>
        <v>2.8</v>
      </c>
      <c r="I81" s="204">
        <f>'3 Byggeår'!L203</f>
        <v>2.8</v>
      </c>
      <c r="J81" s="204">
        <f>'3 Byggeår'!M203</f>
        <v>2.8</v>
      </c>
      <c r="K81" s="204">
        <f>'3 Byggeår'!N203</f>
        <v>2.8</v>
      </c>
      <c r="L81" s="204">
        <f>'3 Byggeår'!O203</f>
        <v>2.8</v>
      </c>
      <c r="M81" s="204">
        <f>'3 Byggeår'!P203</f>
        <v>2.8</v>
      </c>
    </row>
    <row r="82" spans="1:13" s="204" customFormat="1" ht="12.75" x14ac:dyDescent="0.2">
      <c r="A82" s="204" t="str">
        <f>'3 Byggeår'!A204</f>
        <v>Normalisert kuldebroverdi [W/m2,K]</v>
      </c>
      <c r="B82" s="204">
        <f>'3 Byggeår'!D204</f>
        <v>0.05</v>
      </c>
      <c r="C82" s="204">
        <f>'3 Byggeår'!E204</f>
        <v>0.12</v>
      </c>
      <c r="D82" s="204">
        <f>'3 Byggeår'!G204</f>
        <v>0.03</v>
      </c>
      <c r="E82" s="204">
        <f>'3 Byggeår'!H204</f>
        <v>0.06</v>
      </c>
      <c r="F82" s="204">
        <f>'3 Byggeår'!I204</f>
        <v>0.06</v>
      </c>
      <c r="G82" s="204">
        <f>'3 Byggeår'!J204</f>
        <v>0.06</v>
      </c>
      <c r="H82" s="204">
        <f>'3 Byggeår'!K204</f>
        <v>0.06</v>
      </c>
      <c r="I82" s="204">
        <f>'3 Byggeår'!L204</f>
        <v>0.03</v>
      </c>
      <c r="J82" s="204">
        <f>'3 Byggeår'!M204</f>
        <v>0.06</v>
      </c>
      <c r="K82" s="204">
        <f>'3 Byggeår'!N204</f>
        <v>0.06</v>
      </c>
      <c r="L82" s="204">
        <f>'3 Byggeår'!O204</f>
        <v>0.06</v>
      </c>
      <c r="M82" s="204">
        <f>'3 Byggeår'!P204</f>
        <v>0.06</v>
      </c>
    </row>
    <row r="83" spans="1:13" s="204" customFormat="1" ht="12.75" x14ac:dyDescent="0.2">
      <c r="A83" s="204" t="str">
        <f>'3 Byggeår'!A205</f>
        <v>Lufttetthet, lekkasjetall N50 [1/h]</v>
      </c>
      <c r="B83" s="204">
        <f>'3 Byggeår'!D205</f>
        <v>5</v>
      </c>
      <c r="C83" s="204">
        <f>'3 Byggeår'!E205</f>
        <v>2.5</v>
      </c>
      <c r="D83" s="204">
        <f>'3 Byggeår'!G205</f>
        <v>3</v>
      </c>
      <c r="E83" s="204">
        <f>'3 Byggeår'!H205</f>
        <v>2.5</v>
      </c>
      <c r="F83" s="204">
        <f>'3 Byggeår'!I205</f>
        <v>3</v>
      </c>
      <c r="G83" s="204">
        <f>'3 Byggeår'!J205</f>
        <v>2.5</v>
      </c>
      <c r="H83" s="204">
        <f>'3 Byggeår'!K205</f>
        <v>2.5</v>
      </c>
      <c r="I83" s="204">
        <f>'3 Byggeår'!L205</f>
        <v>3</v>
      </c>
      <c r="J83" s="204">
        <f>'3 Byggeår'!M205</f>
        <v>3</v>
      </c>
      <c r="K83" s="204">
        <f>'3 Byggeår'!N205</f>
        <v>3</v>
      </c>
      <c r="L83" s="204">
        <f>'3 Byggeår'!O205</f>
        <v>2.5</v>
      </c>
      <c r="M83" s="204">
        <f>'3 Byggeår'!P205</f>
        <v>3</v>
      </c>
    </row>
    <row r="84" spans="1:13" s="204" customFormat="1" ht="12.75" x14ac:dyDescent="0.2">
      <c r="A84" s="204" t="str">
        <f>'3 Byggeår'!A206</f>
        <v>Ventilasjonsluftmengder [m3/(hm2)]</v>
      </c>
      <c r="B84" s="348" t="str">
        <f>'3 Byggeår'!D154</f>
        <v>1,2</v>
      </c>
      <c r="C84" s="348" t="str">
        <f>'3 Byggeår'!E154</f>
        <v>1,5</v>
      </c>
      <c r="D84" s="348" t="str">
        <f>'3 Byggeår'!G128</f>
        <v>12</v>
      </c>
      <c r="E84" s="348" t="str">
        <f>'3 Byggeår'!H128</f>
        <v>10</v>
      </c>
      <c r="F84" s="348" t="str">
        <f>'3 Byggeår'!I128</f>
        <v>16</v>
      </c>
      <c r="G84" s="348" t="str">
        <f>'3 Byggeår'!J128</f>
        <v>13</v>
      </c>
      <c r="H84" s="348" t="str">
        <f>'3 Byggeår'!K128</f>
        <v>16/3</v>
      </c>
      <c r="I84" s="348" t="str">
        <f>'3 Byggeår'!L128</f>
        <v>14/3</v>
      </c>
      <c r="J84" s="348" t="str">
        <f>'3 Byggeår'!M128</f>
        <v>10</v>
      </c>
      <c r="K84" s="348" t="str">
        <f>'3 Byggeår'!N128</f>
        <v>12</v>
      </c>
      <c r="L84" s="348" t="str">
        <f>'3 Byggeår'!O128</f>
        <v>20</v>
      </c>
      <c r="M84" s="348" t="str">
        <f>'3 Byggeår'!P128</f>
        <v>12</v>
      </c>
    </row>
    <row r="85" spans="1:13" s="204" customFormat="1" ht="12.75" x14ac:dyDescent="0.2">
      <c r="A85" s="204" t="str">
        <f>'3 Byggeår'!A207</f>
        <v>Varmegjenvinning ventilasjon [%]</v>
      </c>
      <c r="B85" s="397">
        <f>'3 Byggeår'!D155</f>
        <v>0</v>
      </c>
      <c r="C85" s="397">
        <f>'3 Byggeår'!E155</f>
        <v>0</v>
      </c>
      <c r="D85" s="348">
        <v>0.5</v>
      </c>
      <c r="E85" s="348">
        <v>0.5</v>
      </c>
      <c r="F85" s="348">
        <v>0.5</v>
      </c>
      <c r="G85" s="348">
        <v>0.5</v>
      </c>
      <c r="H85" s="348">
        <v>0.5</v>
      </c>
      <c r="I85" s="348">
        <v>0.5</v>
      </c>
      <c r="J85" s="348">
        <v>0.5</v>
      </c>
      <c r="K85" s="348">
        <v>0.5</v>
      </c>
      <c r="L85" s="348">
        <v>0.5</v>
      </c>
      <c r="M85" s="348">
        <v>0.5</v>
      </c>
    </row>
    <row r="86" spans="1:13" s="204" customFormat="1" ht="12.75" x14ac:dyDescent="0.2">
      <c r="A86" s="204" t="str">
        <f>'3 Byggeår'!A208</f>
        <v>Frostsikringstemperatur [oC]</v>
      </c>
      <c r="B86" s="348" t="str">
        <f>'3 Byggeår'!D156</f>
        <v>Naturlig vent</v>
      </c>
      <c r="C86" s="348" t="str">
        <f>'3 Byggeår'!E156</f>
        <v>Naturlig vent</v>
      </c>
      <c r="D86" s="348">
        <f>'3 Byggeår'!G130</f>
        <v>-2</v>
      </c>
      <c r="E86" s="348">
        <f>'3 Byggeår'!H130</f>
        <v>-2</v>
      </c>
      <c r="F86" s="348">
        <f>'3 Byggeår'!I130</f>
        <v>-2</v>
      </c>
      <c r="G86" s="348">
        <f>'3 Byggeår'!J130</f>
        <v>-2</v>
      </c>
      <c r="H86" s="348">
        <f>'3 Byggeår'!K130</f>
        <v>-2</v>
      </c>
      <c r="I86" s="348">
        <f>'3 Byggeår'!L130</f>
        <v>-2</v>
      </c>
      <c r="J86" s="348">
        <f>'3 Byggeår'!M130</f>
        <v>-2</v>
      </c>
      <c r="K86" s="348">
        <f>'3 Byggeår'!N130</f>
        <v>-2</v>
      </c>
      <c r="L86" s="348">
        <f>'3 Byggeår'!O130</f>
        <v>-2</v>
      </c>
      <c r="M86" s="348">
        <f>'3 Byggeår'!P130</f>
        <v>-2</v>
      </c>
    </row>
    <row r="87" spans="1:13" s="204" customFormat="1" ht="12.75" x14ac:dyDescent="0.2">
      <c r="A87" s="204" t="str">
        <f>'3 Byggeår'!A209</f>
        <v>SFP-faktor [kW/(m3/s)]</v>
      </c>
      <c r="B87" s="348" t="str">
        <f>'3 Byggeår'!D157</f>
        <v>Naturlig vent</v>
      </c>
      <c r="C87" s="348" t="str">
        <f>'3 Byggeår'!E157</f>
        <v>Naturlig vent</v>
      </c>
      <c r="D87" s="348">
        <f>'3 Byggeår'!G131</f>
        <v>4</v>
      </c>
      <c r="E87" s="348">
        <f>'3 Byggeår'!H131</f>
        <v>4</v>
      </c>
      <c r="F87" s="348">
        <f>'3 Byggeår'!I131</f>
        <v>4</v>
      </c>
      <c r="G87" s="348">
        <f>'3 Byggeår'!J131</f>
        <v>4</v>
      </c>
      <c r="H87" s="348">
        <f>'3 Byggeår'!K131</f>
        <v>4</v>
      </c>
      <c r="I87" s="348">
        <f>'3 Byggeår'!L131</f>
        <v>4</v>
      </c>
      <c r="J87" s="348">
        <f>'3 Byggeår'!M131</f>
        <v>4</v>
      </c>
      <c r="K87" s="348">
        <f>'3 Byggeår'!N131</f>
        <v>4</v>
      </c>
      <c r="L87" s="348">
        <f>'3 Byggeår'!O131</f>
        <v>4</v>
      </c>
      <c r="M87" s="348">
        <f>'3 Byggeår'!P131</f>
        <v>4</v>
      </c>
    </row>
    <row r="88" spans="1:13" s="204" customFormat="1" ht="12.75" x14ac:dyDescent="0.2">
      <c r="A88" s="204" t="str">
        <f>'3 Byggeår'!A210</f>
        <v>Natt- og helgesenkning</v>
      </c>
      <c r="B88" s="204" t="str">
        <f>'3 Byggeår'!D210</f>
        <v>Nei</v>
      </c>
      <c r="C88" s="204" t="str">
        <f>'3 Byggeår'!E210</f>
        <v>Nei</v>
      </c>
      <c r="D88" s="204" t="str">
        <f>'3 Byggeår'!G210</f>
        <v>Nei</v>
      </c>
      <c r="E88" s="204" t="str">
        <f>'3 Byggeår'!H210</f>
        <v>Nei</v>
      </c>
      <c r="F88" s="204" t="str">
        <f>'3 Byggeår'!I210</f>
        <v>Nei</v>
      </c>
      <c r="G88" s="204" t="str">
        <f>'3 Byggeår'!J210</f>
        <v>Nei</v>
      </c>
      <c r="H88" s="204" t="str">
        <f>'3 Byggeår'!K210</f>
        <v>Nei</v>
      </c>
      <c r="I88" s="204" t="str">
        <f>'3 Byggeår'!L210</f>
        <v>Nei</v>
      </c>
      <c r="J88" s="204" t="str">
        <f>'3 Byggeår'!M210</f>
        <v>Nei</v>
      </c>
      <c r="K88" s="204" t="str">
        <f>'3 Byggeår'!N210</f>
        <v>Nei</v>
      </c>
      <c r="L88" s="204" t="str">
        <f>'3 Byggeår'!O210</f>
        <v>Nei</v>
      </c>
      <c r="M88" s="204" t="str">
        <f>'3 Byggeår'!P210</f>
        <v>Nei</v>
      </c>
    </row>
    <row r="89" spans="1:13" s="204" customFormat="1" ht="12.75" x14ac:dyDescent="0.2">
      <c r="A89" s="204" t="str">
        <f>'3 Byggeår'!A211</f>
        <v>Solavskjerming for elimin. lokalkjøling</v>
      </c>
      <c r="B89" s="204" t="str">
        <f>'3 Byggeår'!D211</f>
        <v>Ingen kjøling</v>
      </c>
      <c r="C89" s="204" t="str">
        <f>'3 Byggeår'!E211</f>
        <v>Ingen kjøling</v>
      </c>
      <c r="D89" s="204" t="str">
        <f>'3 Byggeår'!G211</f>
        <v>Nei</v>
      </c>
      <c r="E89" s="204" t="str">
        <f>'3 Byggeår'!H211</f>
        <v>Nei</v>
      </c>
      <c r="F89" s="204" t="str">
        <f>'3 Byggeår'!I211</f>
        <v>Nei</v>
      </c>
      <c r="G89" s="204" t="str">
        <f>'3 Byggeår'!J211</f>
        <v>Nei</v>
      </c>
      <c r="H89" s="204" t="str">
        <f>'3 Byggeår'!K211</f>
        <v>Nei</v>
      </c>
      <c r="I89" s="204" t="str">
        <f>'3 Byggeår'!L211</f>
        <v>Nei</v>
      </c>
      <c r="J89" s="204" t="str">
        <f>'3 Byggeår'!M211</f>
        <v>Nei</v>
      </c>
      <c r="K89" s="204" t="str">
        <f>'3 Byggeår'!N211</f>
        <v>Nei</v>
      </c>
      <c r="L89" s="204" t="str">
        <f>'3 Byggeår'!O211</f>
        <v>Nei</v>
      </c>
      <c r="M89" s="204" t="str">
        <f>'3 Byggeår'!P211</f>
        <v>Nei</v>
      </c>
    </row>
    <row r="90" spans="1:13" s="204" customFormat="1" ht="12.75" x14ac:dyDescent="0.2">
      <c r="A90" s="204" t="str">
        <f>'3 Byggeår'!A212</f>
        <v>Installert kjøleeffekt ventilasjon [W/m2]</v>
      </c>
      <c r="B90" s="204">
        <f>'3 Byggeår'!D212</f>
        <v>0</v>
      </c>
      <c r="C90" s="204">
        <f>'3 Byggeår'!E212</f>
        <v>0</v>
      </c>
      <c r="D90" s="204">
        <f>'3 Byggeår'!G212</f>
        <v>0</v>
      </c>
      <c r="E90" s="204">
        <f>'3 Byggeår'!H212</f>
        <v>60</v>
      </c>
      <c r="F90" s="204">
        <f>'3 Byggeår'!I212</f>
        <v>0</v>
      </c>
      <c r="G90" s="204">
        <f>'3 Byggeår'!J212</f>
        <v>70</v>
      </c>
      <c r="H90" s="204">
        <f>'3 Byggeår'!K212</f>
        <v>90</v>
      </c>
      <c r="I90" s="204">
        <f>'3 Byggeår'!L212</f>
        <v>0</v>
      </c>
      <c r="J90" s="204">
        <f>'3 Byggeår'!M212</f>
        <v>125</v>
      </c>
      <c r="K90" s="204">
        <f>'3 Byggeår'!N212</f>
        <v>0</v>
      </c>
      <c r="L90" s="204">
        <f>'3 Byggeår'!O212</f>
        <v>100</v>
      </c>
      <c r="M90" s="204">
        <f>'3 Byggeår'!P212</f>
        <v>70</v>
      </c>
    </row>
    <row r="91" spans="1:13" s="204" customFormat="1" ht="12.75" x14ac:dyDescent="0.2">
      <c r="A91" s="204" t="str">
        <f>'3 Byggeår'!A213</f>
        <v>Internlaster, belysning [W/m2]</v>
      </c>
      <c r="B91" s="204">
        <f>'3 Byggeår'!D213</f>
        <v>1.95</v>
      </c>
      <c r="C91" s="204">
        <f>'3 Byggeår'!E213</f>
        <v>1.95</v>
      </c>
      <c r="D91" s="204">
        <f>'3 Byggeår'!G213</f>
        <v>15</v>
      </c>
      <c r="E91" s="204">
        <f>'3 Byggeår'!H213</f>
        <v>15</v>
      </c>
      <c r="F91" s="204">
        <f>'3 Byggeår'!I213</f>
        <v>18.75</v>
      </c>
      <c r="G91" s="204">
        <f>'3 Byggeår'!J213</f>
        <v>15</v>
      </c>
      <c r="H91" s="204">
        <f>'3 Byggeår'!K213</f>
        <v>15</v>
      </c>
      <c r="I91" s="204">
        <f>'3 Byggeår'!L213</f>
        <v>15</v>
      </c>
      <c r="J91" s="204">
        <f>'3 Byggeår'!M213</f>
        <v>15</v>
      </c>
      <c r="K91" s="204">
        <f>'3 Byggeår'!N213</f>
        <v>15</v>
      </c>
      <c r="L91" s="204">
        <f>'3 Byggeår'!O213</f>
        <v>28.125</v>
      </c>
      <c r="M91" s="204">
        <f>'3 Byggeår'!P213</f>
        <v>15</v>
      </c>
    </row>
    <row r="92" spans="1:13" s="204" customFormat="1" ht="12.75" x14ac:dyDescent="0.2">
      <c r="A92" s="204" t="str">
        <f>'3 Byggeår'!A214</f>
        <v xml:space="preserve">                        , utstyr [W/m2]</v>
      </c>
      <c r="B92" s="204">
        <f>'3 Byggeår'!D214</f>
        <v>3</v>
      </c>
      <c r="C92" s="204">
        <f>'3 Byggeår'!E214</f>
        <v>3</v>
      </c>
      <c r="D92" s="204">
        <f>'3 Byggeår'!G214</f>
        <v>2</v>
      </c>
      <c r="E92" s="204">
        <f>'3 Byggeår'!H214</f>
        <v>11</v>
      </c>
      <c r="F92" s="204">
        <f>'3 Byggeår'!I214</f>
        <v>6</v>
      </c>
      <c r="G92" s="204">
        <f>'3 Byggeår'!J214</f>
        <v>11</v>
      </c>
      <c r="H92" s="204">
        <f>'3 Byggeår'!K214</f>
        <v>8</v>
      </c>
      <c r="I92" s="204">
        <f>'3 Byggeår'!L214</f>
        <v>4</v>
      </c>
      <c r="J92" s="204">
        <f>'3 Byggeår'!M214</f>
        <v>1</v>
      </c>
      <c r="K92" s="204">
        <f>'3 Byggeår'!N214</f>
        <v>1</v>
      </c>
      <c r="L92" s="204">
        <f>'3 Byggeår'!O214</f>
        <v>1</v>
      </c>
      <c r="M92" s="204">
        <f>'3 Byggeår'!P214</f>
        <v>1</v>
      </c>
    </row>
    <row r="93" spans="1:13" s="204" customFormat="1" ht="12.75" x14ac:dyDescent="0.2">
      <c r="A93" s="204" t="str">
        <f>'3 Byggeår'!A215</f>
        <v xml:space="preserve">                        , varmtvann [W/m2]</v>
      </c>
      <c r="B93" s="204">
        <f>'3 Byggeår'!D215</f>
        <v>5.0999999999999996</v>
      </c>
      <c r="C93" s="204">
        <f>'3 Byggeår'!E215</f>
        <v>5.0999999999999996</v>
      </c>
      <c r="D93" s="204">
        <f>'3 Byggeår'!G215</f>
        <v>3.8</v>
      </c>
      <c r="E93" s="204">
        <f>'3 Byggeår'!H215</f>
        <v>1.6</v>
      </c>
      <c r="F93" s="204">
        <f>'3 Byggeår'!I215</f>
        <v>4.5</v>
      </c>
      <c r="G93" s="204">
        <f>'3 Byggeår'!J215</f>
        <v>1.6</v>
      </c>
      <c r="H93" s="204">
        <f>'3 Byggeår'!K215</f>
        <v>5.0999999999999996</v>
      </c>
      <c r="I93" s="204">
        <f>'3 Byggeår'!L215</f>
        <v>5.0999999999999996</v>
      </c>
      <c r="J93" s="204">
        <f>'3 Byggeår'!M215</f>
        <v>5.0999999999999996</v>
      </c>
      <c r="K93" s="204">
        <f>'3 Byggeår'!N215</f>
        <v>18.899999999999999</v>
      </c>
      <c r="L93" s="204">
        <f>'3 Byggeår'!O215</f>
        <v>2.7</v>
      </c>
      <c r="M93" s="204">
        <f>'3 Byggeår'!P215</f>
        <v>3.5</v>
      </c>
    </row>
    <row r="94" spans="1:13" s="204" customFormat="1" ht="12.75" x14ac:dyDescent="0.2">
      <c r="A94" s="204" t="str">
        <f>'3 Byggeår'!A216</f>
        <v>Varmetilskudd, personer [W/m2]</v>
      </c>
      <c r="B94" s="204">
        <f>'3 Byggeår'!D216</f>
        <v>1.5</v>
      </c>
      <c r="C94" s="204">
        <f>'3 Byggeår'!E216</f>
        <v>1.5</v>
      </c>
      <c r="D94" s="204">
        <f>'3 Byggeår'!G216</f>
        <v>6</v>
      </c>
      <c r="E94" s="204">
        <f>'3 Byggeår'!H216</f>
        <v>4</v>
      </c>
      <c r="F94" s="204">
        <f>'3 Byggeår'!I216</f>
        <v>12</v>
      </c>
      <c r="G94" s="204">
        <f>'3 Byggeår'!J216</f>
        <v>6</v>
      </c>
      <c r="H94" s="204">
        <f>'3 Byggeår'!K216</f>
        <v>2</v>
      </c>
      <c r="I94" s="204">
        <f>'3 Byggeår'!L216</f>
        <v>3</v>
      </c>
      <c r="J94" s="204">
        <f>'3 Byggeår'!M216</f>
        <v>2</v>
      </c>
      <c r="K94" s="204">
        <f>'3 Byggeår'!N216</f>
        <v>10</v>
      </c>
      <c r="L94" s="204">
        <f>'3 Byggeår'!O216</f>
        <v>10</v>
      </c>
      <c r="M94" s="204">
        <f>'3 Byggeår'!P216</f>
        <v>3.2</v>
      </c>
    </row>
    <row r="95" spans="1:13" s="204" customFormat="1" ht="12.75" x14ac:dyDescent="0.2">
      <c r="A95" s="204" t="str">
        <f>'3 Byggeår'!A217</f>
        <v>Solskjerming solfaktor, fast  / ikke aktivisert stilling</v>
      </c>
      <c r="B95" s="204">
        <f>'3 Byggeår'!D217</f>
        <v>0.75</v>
      </c>
      <c r="C95" s="204">
        <f>'3 Byggeår'!E217</f>
        <v>0.75</v>
      </c>
      <c r="D95" s="204">
        <f>'3 Byggeår'!G217</f>
        <v>0.75</v>
      </c>
      <c r="E95" s="204">
        <f>'3 Byggeår'!H217</f>
        <v>0.75</v>
      </c>
      <c r="F95" s="204">
        <f>'3 Byggeår'!I217</f>
        <v>0.75</v>
      </c>
      <c r="G95" s="204">
        <f>'3 Byggeår'!J217</f>
        <v>0.75</v>
      </c>
      <c r="H95" s="204">
        <f>'3 Byggeår'!K217</f>
        <v>0.75</v>
      </c>
      <c r="I95" s="204">
        <f>'3 Byggeår'!L217</f>
        <v>0.75</v>
      </c>
      <c r="J95" s="204">
        <f>'3 Byggeår'!M217</f>
        <v>0.75</v>
      </c>
      <c r="K95" s="204">
        <f>'3 Byggeår'!N217</f>
        <v>0.75</v>
      </c>
      <c r="L95" s="204">
        <f>'3 Byggeår'!O217</f>
        <v>0.75</v>
      </c>
      <c r="M95" s="204">
        <f>'3 Byggeår'!P217</f>
        <v>0.75</v>
      </c>
    </row>
    <row r="96" spans="1:13" s="204" customFormat="1" ht="12.75" x14ac:dyDescent="0.2">
      <c r="A96" s="204" t="str">
        <f>'3 Byggeår'!A218</f>
        <v xml:space="preserve">                                         , aktivisert stilling</v>
      </c>
      <c r="B96" s="204" t="str">
        <f>'3 Byggeår'!D218</f>
        <v>-</v>
      </c>
      <c r="C96" s="204" t="str">
        <f>'3 Byggeår'!E218</f>
        <v>-</v>
      </c>
      <c r="D96" s="204" t="str">
        <f>'3 Byggeår'!G218</f>
        <v>-</v>
      </c>
      <c r="E96" s="204" t="str">
        <f>'3 Byggeår'!H218</f>
        <v>-</v>
      </c>
      <c r="F96" s="204" t="str">
        <f>'3 Byggeår'!I218</f>
        <v>-</v>
      </c>
      <c r="G96" s="204" t="str">
        <f>'3 Byggeår'!J218</f>
        <v>-</v>
      </c>
      <c r="H96" s="204" t="str">
        <f>'3 Byggeår'!K218</f>
        <v>-</v>
      </c>
      <c r="I96" s="204" t="str">
        <f>'3 Byggeår'!L218</f>
        <v>-</v>
      </c>
      <c r="J96" s="204" t="str">
        <f>'3 Byggeår'!M218</f>
        <v>-</v>
      </c>
      <c r="K96" s="204" t="str">
        <f>'3 Byggeår'!N218</f>
        <v>-</v>
      </c>
      <c r="L96" s="204" t="str">
        <f>'3 Byggeår'!O218</f>
        <v>-</v>
      </c>
      <c r="M96" s="204" t="str">
        <f>'3 Byggeår'!P218</f>
        <v>-</v>
      </c>
    </row>
    <row r="97" spans="1:13" s="204" customFormat="1" ht="12.75" x14ac:dyDescent="0.2">
      <c r="A97" s="204" t="str">
        <f>'3 Byggeår'!A219</f>
        <v xml:space="preserve">                                         , automatisk solskj.e. solflux</v>
      </c>
      <c r="B97" s="204" t="str">
        <f>'3 Byggeår'!D219</f>
        <v>-</v>
      </c>
      <c r="C97" s="204" t="str">
        <f>'3 Byggeår'!E219</f>
        <v>-</v>
      </c>
      <c r="D97" s="204" t="str">
        <f>'3 Byggeår'!G219</f>
        <v>-</v>
      </c>
      <c r="E97" s="204" t="str">
        <f>'3 Byggeår'!H219</f>
        <v>-</v>
      </c>
      <c r="F97" s="204" t="str">
        <f>'3 Byggeår'!I219</f>
        <v>-</v>
      </c>
      <c r="G97" s="204" t="str">
        <f>'3 Byggeår'!J219</f>
        <v>-</v>
      </c>
      <c r="H97" s="204" t="str">
        <f>'3 Byggeår'!K219</f>
        <v>-</v>
      </c>
      <c r="I97" s="204" t="str">
        <f>'3 Byggeår'!L219</f>
        <v>-</v>
      </c>
      <c r="J97" s="204" t="str">
        <f>'3 Byggeår'!M219</f>
        <v>-</v>
      </c>
      <c r="K97" s="204" t="str">
        <f>'3 Byggeår'!N219</f>
        <v>-</v>
      </c>
      <c r="L97" s="204" t="str">
        <f>'3 Byggeår'!O219</f>
        <v>-</v>
      </c>
      <c r="M97" s="204" t="str">
        <f>'3 Byggeår'!P219</f>
        <v>-</v>
      </c>
    </row>
    <row r="98" spans="1:13" s="204" customFormat="1" ht="12.75" x14ac:dyDescent="0.2">
      <c r="A98" s="390" t="s">
        <v>478</v>
      </c>
      <c r="B98" s="204" t="s">
        <v>313</v>
      </c>
      <c r="C98" s="204" t="s">
        <v>313</v>
      </c>
      <c r="D98" s="204" t="s">
        <v>313</v>
      </c>
      <c r="E98" s="204" t="s">
        <v>313</v>
      </c>
      <c r="F98" s="204" t="s">
        <v>313</v>
      </c>
      <c r="G98" s="204" t="s">
        <v>313</v>
      </c>
      <c r="H98" s="204" t="s">
        <v>313</v>
      </c>
      <c r="I98" s="204" t="s">
        <v>313</v>
      </c>
      <c r="J98" s="204" t="s">
        <v>313</v>
      </c>
      <c r="K98" s="204" t="s">
        <v>313</v>
      </c>
      <c r="L98" s="204" t="s">
        <v>313</v>
      </c>
      <c r="M98" s="204" t="s">
        <v>313</v>
      </c>
    </row>
    <row r="99" spans="1:13" x14ac:dyDescent="0.25">
      <c r="A99" s="388" t="s">
        <v>479</v>
      </c>
      <c r="B99" s="391">
        <f>B64+1.5</f>
        <v>19</v>
      </c>
      <c r="C99" s="391">
        <f t="shared" ref="C99:M99" si="12">C64+1.5</f>
        <v>19</v>
      </c>
      <c r="D99" s="391">
        <f t="shared" si="12"/>
        <v>13</v>
      </c>
      <c r="E99" s="391">
        <f t="shared" si="12"/>
        <v>15</v>
      </c>
      <c r="F99" s="391">
        <f t="shared" si="12"/>
        <v>13</v>
      </c>
      <c r="G99" s="391">
        <f t="shared" si="12"/>
        <v>15</v>
      </c>
      <c r="H99" s="391">
        <f t="shared" si="12"/>
        <v>19</v>
      </c>
      <c r="I99" s="391">
        <f t="shared" si="12"/>
        <v>19</v>
      </c>
      <c r="J99" s="391">
        <f t="shared" si="12"/>
        <v>19</v>
      </c>
      <c r="K99" s="391">
        <f t="shared" si="12"/>
        <v>15</v>
      </c>
      <c r="L99" s="391">
        <f t="shared" si="12"/>
        <v>15</v>
      </c>
      <c r="M99" s="391">
        <f t="shared" si="12"/>
        <v>14</v>
      </c>
    </row>
    <row r="100" spans="1:13" x14ac:dyDescent="0.25">
      <c r="A100" s="388" t="s">
        <v>481</v>
      </c>
      <c r="B100" s="391">
        <v>24</v>
      </c>
      <c r="C100" s="391">
        <v>24</v>
      </c>
      <c r="D100" s="391">
        <f t="shared" ref="D100:M100" si="13">D65+1.5</f>
        <v>13</v>
      </c>
      <c r="E100" s="391">
        <f t="shared" si="13"/>
        <v>15</v>
      </c>
      <c r="F100" s="391">
        <f t="shared" si="13"/>
        <v>13</v>
      </c>
      <c r="G100" s="391">
        <f t="shared" si="13"/>
        <v>15</v>
      </c>
      <c r="H100" s="391">
        <f t="shared" si="13"/>
        <v>19</v>
      </c>
      <c r="I100" s="391">
        <f t="shared" si="13"/>
        <v>19</v>
      </c>
      <c r="J100" s="391">
        <f t="shared" si="13"/>
        <v>19</v>
      </c>
      <c r="K100" s="391">
        <f t="shared" si="13"/>
        <v>15</v>
      </c>
      <c r="L100" s="391">
        <f t="shared" si="13"/>
        <v>15</v>
      </c>
      <c r="M100" s="391">
        <f t="shared" si="13"/>
        <v>14</v>
      </c>
    </row>
    <row r="101" spans="1:13" x14ac:dyDescent="0.25">
      <c r="A101" s="388" t="s">
        <v>480</v>
      </c>
      <c r="B101" s="391">
        <v>24</v>
      </c>
      <c r="C101" s="391">
        <v>24</v>
      </c>
      <c r="D101" s="391">
        <f t="shared" ref="D101:G101" si="14">D66+1.5</f>
        <v>13</v>
      </c>
      <c r="E101" s="391">
        <f t="shared" si="14"/>
        <v>15</v>
      </c>
      <c r="F101" s="391">
        <f t="shared" si="14"/>
        <v>13</v>
      </c>
      <c r="G101" s="391">
        <f t="shared" si="14"/>
        <v>15</v>
      </c>
      <c r="H101" s="391">
        <v>24</v>
      </c>
      <c r="I101" s="391">
        <v>24</v>
      </c>
      <c r="J101" s="391">
        <v>24</v>
      </c>
      <c r="K101" s="391">
        <f t="shared" ref="K101:M101" si="15">K66+1.5</f>
        <v>15</v>
      </c>
      <c r="L101" s="391">
        <f t="shared" si="15"/>
        <v>15</v>
      </c>
      <c r="M101" s="391">
        <f t="shared" si="15"/>
        <v>14</v>
      </c>
    </row>
    <row r="102" spans="1:13" x14ac:dyDescent="0.25">
      <c r="A102" s="388" t="s">
        <v>482</v>
      </c>
      <c r="B102" s="391">
        <f>B67+1</f>
        <v>23</v>
      </c>
      <c r="C102" s="391">
        <f t="shared" ref="C102:M102" si="16">C67+1</f>
        <v>23</v>
      </c>
      <c r="D102" s="391">
        <f t="shared" si="16"/>
        <v>23</v>
      </c>
      <c r="E102" s="391">
        <f t="shared" si="16"/>
        <v>23</v>
      </c>
      <c r="F102" s="391">
        <f t="shared" si="16"/>
        <v>23</v>
      </c>
      <c r="G102" s="391">
        <f t="shared" si="16"/>
        <v>23</v>
      </c>
      <c r="H102" s="391">
        <f t="shared" si="16"/>
        <v>23</v>
      </c>
      <c r="I102" s="391">
        <f t="shared" si="16"/>
        <v>23</v>
      </c>
      <c r="J102" s="391">
        <f t="shared" si="16"/>
        <v>23</v>
      </c>
      <c r="K102" s="391">
        <f t="shared" si="16"/>
        <v>21</v>
      </c>
      <c r="L102" s="391">
        <f t="shared" si="16"/>
        <v>23</v>
      </c>
      <c r="M102" s="391">
        <f t="shared" si="16"/>
        <v>23</v>
      </c>
    </row>
    <row r="103" spans="1:13" x14ac:dyDescent="0.25">
      <c r="A103" s="388" t="s">
        <v>484</v>
      </c>
      <c r="B103" s="391">
        <f>B102</f>
        <v>23</v>
      </c>
      <c r="C103" s="391">
        <f t="shared" ref="C103" si="17">C102</f>
        <v>23</v>
      </c>
      <c r="D103" s="391">
        <f t="shared" ref="D103" si="18">D102</f>
        <v>23</v>
      </c>
      <c r="E103" s="391">
        <f t="shared" ref="E103" si="19">E102</f>
        <v>23</v>
      </c>
      <c r="F103" s="391">
        <f t="shared" ref="F103" si="20">F102</f>
        <v>23</v>
      </c>
      <c r="G103" s="391">
        <f t="shared" ref="G103" si="21">G102</f>
        <v>23</v>
      </c>
      <c r="H103" s="391">
        <f t="shared" ref="H103" si="22">H102</f>
        <v>23</v>
      </c>
      <c r="I103" s="391">
        <f t="shared" ref="I103" si="23">I102</f>
        <v>23</v>
      </c>
      <c r="J103" s="391">
        <f t="shared" ref="J103" si="24">J102</f>
        <v>23</v>
      </c>
      <c r="K103" s="391">
        <f t="shared" ref="K103" si="25">K102</f>
        <v>21</v>
      </c>
      <c r="L103" s="391">
        <f t="shared" ref="L103" si="26">L102</f>
        <v>23</v>
      </c>
      <c r="M103" s="391">
        <f t="shared" ref="M103" si="27">M102</f>
        <v>23</v>
      </c>
    </row>
    <row r="104" spans="1:13" x14ac:dyDescent="0.25">
      <c r="A104" s="388" t="s">
        <v>485</v>
      </c>
      <c r="B104" s="391">
        <f>B69+1</f>
        <v>20</v>
      </c>
      <c r="C104" s="391">
        <f t="shared" ref="C104:M104" si="28">C69+1</f>
        <v>20</v>
      </c>
      <c r="D104" s="391">
        <f t="shared" si="28"/>
        <v>20</v>
      </c>
      <c r="E104" s="391">
        <f t="shared" si="28"/>
        <v>20</v>
      </c>
      <c r="F104" s="391">
        <f t="shared" si="28"/>
        <v>20</v>
      </c>
      <c r="G104" s="391">
        <f t="shared" si="28"/>
        <v>20</v>
      </c>
      <c r="H104" s="391">
        <f t="shared" si="28"/>
        <v>20</v>
      </c>
      <c r="I104" s="391">
        <f t="shared" si="28"/>
        <v>20</v>
      </c>
      <c r="J104" s="391">
        <f t="shared" si="28"/>
        <v>20</v>
      </c>
      <c r="K104" s="391">
        <f t="shared" si="28"/>
        <v>20</v>
      </c>
      <c r="L104" s="391">
        <f t="shared" si="28"/>
        <v>20</v>
      </c>
      <c r="M104" s="391">
        <f t="shared" si="28"/>
        <v>20</v>
      </c>
    </row>
    <row r="105" spans="1:13" x14ac:dyDescent="0.25">
      <c r="A105" s="388" t="s">
        <v>483</v>
      </c>
      <c r="B105" s="394" t="s">
        <v>15</v>
      </c>
      <c r="C105" s="394" t="s">
        <v>15</v>
      </c>
      <c r="D105" s="394" t="s">
        <v>15</v>
      </c>
      <c r="E105" s="391">
        <f>E70-1</f>
        <v>14</v>
      </c>
      <c r="F105" s="394" t="s">
        <v>15</v>
      </c>
      <c r="G105" s="391">
        <f>G70-1</f>
        <v>14</v>
      </c>
      <c r="H105" s="391">
        <f>H70-1</f>
        <v>14</v>
      </c>
      <c r="I105" s="394" t="s">
        <v>15</v>
      </c>
      <c r="J105" s="391">
        <f>J70-1</f>
        <v>14</v>
      </c>
      <c r="K105" s="394" t="s">
        <v>15</v>
      </c>
      <c r="L105" s="391">
        <f>L70-1</f>
        <v>14</v>
      </c>
      <c r="M105" s="391">
        <f>M70-1</f>
        <v>14</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7"/>
  <sheetViews>
    <sheetView topLeftCell="A16" zoomScale="90" zoomScaleNormal="90" workbookViewId="0">
      <pane xSplit="1" topLeftCell="B1" activePane="topRight" state="frozen"/>
      <selection pane="topRight" activeCell="N28" sqref="N28"/>
    </sheetView>
  </sheetViews>
  <sheetFormatPr baseColWidth="10" defaultColWidth="11.42578125" defaultRowHeight="12.75" x14ac:dyDescent="0.2"/>
  <cols>
    <col min="1" max="1" width="44.28515625" style="157" customWidth="1"/>
    <col min="2" max="2" width="14.28515625" style="206" customWidth="1"/>
    <col min="3" max="3" width="13.7109375" style="224" customWidth="1"/>
    <col min="4" max="4" width="13.85546875" style="201" bestFit="1" customWidth="1"/>
    <col min="5" max="5" width="13.140625" style="201" customWidth="1"/>
    <col min="6" max="6" width="13.85546875" style="201" bestFit="1" customWidth="1"/>
    <col min="7" max="7" width="11.42578125" style="201"/>
    <col min="8" max="8" width="14.28515625" style="201" bestFit="1" customWidth="1"/>
    <col min="9" max="9" width="11.42578125" style="201"/>
    <col min="10" max="10" width="13.85546875" style="201" bestFit="1" customWidth="1"/>
    <col min="11" max="11" width="11.42578125" style="201"/>
    <col min="12" max="12" width="14.28515625" style="201" customWidth="1"/>
    <col min="13" max="15" width="11.42578125" style="201"/>
    <col min="16" max="16" width="13.85546875" style="201" bestFit="1" customWidth="1"/>
    <col min="17" max="17" width="11.42578125" style="201"/>
    <col min="18" max="18" width="13.85546875" style="201" bestFit="1" customWidth="1"/>
    <col min="19" max="19" width="11.42578125" style="201"/>
    <col min="20" max="20" width="13.85546875" style="201" bestFit="1" customWidth="1"/>
    <col min="21" max="207" width="11.42578125" style="201"/>
    <col min="208" max="208" width="16.7109375" style="201" customWidth="1"/>
    <col min="209" max="213" width="0" style="201" hidden="1" customWidth="1"/>
    <col min="214" max="214" width="29.7109375" style="201" customWidth="1"/>
    <col min="215" max="223" width="13.7109375" style="201" customWidth="1"/>
    <col min="224" max="224" width="14.140625" style="201" customWidth="1"/>
    <col min="225" max="232" width="13.7109375" style="201" customWidth="1"/>
    <col min="233" max="234" width="14.7109375" style="201" customWidth="1"/>
    <col min="235" max="237" width="13.7109375" style="201" customWidth="1"/>
    <col min="238" max="242" width="14.140625" style="201" customWidth="1"/>
    <col min="243" max="463" width="11.42578125" style="201"/>
    <col min="464" max="464" width="16.7109375" style="201" customWidth="1"/>
    <col min="465" max="469" width="0" style="201" hidden="1" customWidth="1"/>
    <col min="470" max="470" width="29.7109375" style="201" customWidth="1"/>
    <col min="471" max="479" width="13.7109375" style="201" customWidth="1"/>
    <col min="480" max="480" width="14.140625" style="201" customWidth="1"/>
    <col min="481" max="488" width="13.7109375" style="201" customWidth="1"/>
    <col min="489" max="490" width="14.7109375" style="201" customWidth="1"/>
    <col min="491" max="493" width="13.7109375" style="201" customWidth="1"/>
    <col min="494" max="498" width="14.140625" style="201" customWidth="1"/>
    <col min="499" max="719" width="11.42578125" style="201"/>
    <col min="720" max="720" width="16.7109375" style="201" customWidth="1"/>
    <col min="721" max="725" width="0" style="201" hidden="1" customWidth="1"/>
    <col min="726" max="726" width="29.7109375" style="201" customWidth="1"/>
    <col min="727" max="735" width="13.7109375" style="201" customWidth="1"/>
    <col min="736" max="736" width="14.140625" style="201" customWidth="1"/>
    <col min="737" max="744" width="13.7109375" style="201" customWidth="1"/>
    <col min="745" max="746" width="14.7109375" style="201" customWidth="1"/>
    <col min="747" max="749" width="13.7109375" style="201" customWidth="1"/>
    <col min="750" max="754" width="14.140625" style="201" customWidth="1"/>
    <col min="755" max="975" width="11.42578125" style="201"/>
    <col min="976" max="976" width="16.7109375" style="201" customWidth="1"/>
    <col min="977" max="981" width="0" style="201" hidden="1" customWidth="1"/>
    <col min="982" max="982" width="29.7109375" style="201" customWidth="1"/>
    <col min="983" max="991" width="13.7109375" style="201" customWidth="1"/>
    <col min="992" max="992" width="14.140625" style="201" customWidth="1"/>
    <col min="993" max="1000" width="13.7109375" style="201" customWidth="1"/>
    <col min="1001" max="1002" width="14.7109375" style="201" customWidth="1"/>
    <col min="1003" max="1005" width="13.7109375" style="201" customWidth="1"/>
    <col min="1006" max="1010" width="14.140625" style="201" customWidth="1"/>
    <col min="1011" max="1231" width="11.42578125" style="201"/>
    <col min="1232" max="1232" width="16.7109375" style="201" customWidth="1"/>
    <col min="1233" max="1237" width="0" style="201" hidden="1" customWidth="1"/>
    <col min="1238" max="1238" width="29.7109375" style="201" customWidth="1"/>
    <col min="1239" max="1247" width="13.7109375" style="201" customWidth="1"/>
    <col min="1248" max="1248" width="14.140625" style="201" customWidth="1"/>
    <col min="1249" max="1256" width="13.7109375" style="201" customWidth="1"/>
    <col min="1257" max="1258" width="14.7109375" style="201" customWidth="1"/>
    <col min="1259" max="1261" width="13.7109375" style="201" customWidth="1"/>
    <col min="1262" max="1266" width="14.140625" style="201" customWidth="1"/>
    <col min="1267" max="1487" width="11.42578125" style="201"/>
    <col min="1488" max="1488" width="16.7109375" style="201" customWidth="1"/>
    <col min="1489" max="1493" width="0" style="201" hidden="1" customWidth="1"/>
    <col min="1494" max="1494" width="29.7109375" style="201" customWidth="1"/>
    <col min="1495" max="1503" width="13.7109375" style="201" customWidth="1"/>
    <col min="1504" max="1504" width="14.140625" style="201" customWidth="1"/>
    <col min="1505" max="1512" width="13.7109375" style="201" customWidth="1"/>
    <col min="1513" max="1514" width="14.7109375" style="201" customWidth="1"/>
    <col min="1515" max="1517" width="13.7109375" style="201" customWidth="1"/>
    <col min="1518" max="1522" width="14.140625" style="201" customWidth="1"/>
    <col min="1523" max="1743" width="11.42578125" style="201"/>
    <col min="1744" max="1744" width="16.7109375" style="201" customWidth="1"/>
    <col min="1745" max="1749" width="0" style="201" hidden="1" customWidth="1"/>
    <col min="1750" max="1750" width="29.7109375" style="201" customWidth="1"/>
    <col min="1751" max="1759" width="13.7109375" style="201" customWidth="1"/>
    <col min="1760" max="1760" width="14.140625" style="201" customWidth="1"/>
    <col min="1761" max="1768" width="13.7109375" style="201" customWidth="1"/>
    <col min="1769" max="1770" width="14.7109375" style="201" customWidth="1"/>
    <col min="1771" max="1773" width="13.7109375" style="201" customWidth="1"/>
    <col min="1774" max="1778" width="14.140625" style="201" customWidth="1"/>
    <col min="1779" max="1999" width="11.42578125" style="201"/>
    <col min="2000" max="2000" width="16.7109375" style="201" customWidth="1"/>
    <col min="2001" max="2005" width="0" style="201" hidden="1" customWidth="1"/>
    <col min="2006" max="2006" width="29.7109375" style="201" customWidth="1"/>
    <col min="2007" max="2015" width="13.7109375" style="201" customWidth="1"/>
    <col min="2016" max="2016" width="14.140625" style="201" customWidth="1"/>
    <col min="2017" max="2024" width="13.7109375" style="201" customWidth="1"/>
    <col min="2025" max="2026" width="14.7109375" style="201" customWidth="1"/>
    <col min="2027" max="2029" width="13.7109375" style="201" customWidth="1"/>
    <col min="2030" max="2034" width="14.140625" style="201" customWidth="1"/>
    <col min="2035" max="2255" width="11.42578125" style="201"/>
    <col min="2256" max="2256" width="16.7109375" style="201" customWidth="1"/>
    <col min="2257" max="2261" width="0" style="201" hidden="1" customWidth="1"/>
    <col min="2262" max="2262" width="29.7109375" style="201" customWidth="1"/>
    <col min="2263" max="2271" width="13.7109375" style="201" customWidth="1"/>
    <col min="2272" max="2272" width="14.140625" style="201" customWidth="1"/>
    <col min="2273" max="2280" width="13.7109375" style="201" customWidth="1"/>
    <col min="2281" max="2282" width="14.7109375" style="201" customWidth="1"/>
    <col min="2283" max="2285" width="13.7109375" style="201" customWidth="1"/>
    <col min="2286" max="2290" width="14.140625" style="201" customWidth="1"/>
    <col min="2291" max="2511" width="11.42578125" style="201"/>
    <col min="2512" max="2512" width="16.7109375" style="201" customWidth="1"/>
    <col min="2513" max="2517" width="0" style="201" hidden="1" customWidth="1"/>
    <col min="2518" max="2518" width="29.7109375" style="201" customWidth="1"/>
    <col min="2519" max="2527" width="13.7109375" style="201" customWidth="1"/>
    <col min="2528" max="2528" width="14.140625" style="201" customWidth="1"/>
    <col min="2529" max="2536" width="13.7109375" style="201" customWidth="1"/>
    <col min="2537" max="2538" width="14.7109375" style="201" customWidth="1"/>
    <col min="2539" max="2541" width="13.7109375" style="201" customWidth="1"/>
    <col min="2542" max="2546" width="14.140625" style="201" customWidth="1"/>
    <col min="2547" max="2767" width="11.42578125" style="201"/>
    <col min="2768" max="2768" width="16.7109375" style="201" customWidth="1"/>
    <col min="2769" max="2773" width="0" style="201" hidden="1" customWidth="1"/>
    <col min="2774" max="2774" width="29.7109375" style="201" customWidth="1"/>
    <col min="2775" max="2783" width="13.7109375" style="201" customWidth="1"/>
    <col min="2784" max="2784" width="14.140625" style="201" customWidth="1"/>
    <col min="2785" max="2792" width="13.7109375" style="201" customWidth="1"/>
    <col min="2793" max="2794" width="14.7109375" style="201" customWidth="1"/>
    <col min="2795" max="2797" width="13.7109375" style="201" customWidth="1"/>
    <col min="2798" max="2802" width="14.140625" style="201" customWidth="1"/>
    <col min="2803" max="3023" width="11.42578125" style="201"/>
    <col min="3024" max="3024" width="16.7109375" style="201" customWidth="1"/>
    <col min="3025" max="3029" width="0" style="201" hidden="1" customWidth="1"/>
    <col min="3030" max="3030" width="29.7109375" style="201" customWidth="1"/>
    <col min="3031" max="3039" width="13.7109375" style="201" customWidth="1"/>
    <col min="3040" max="3040" width="14.140625" style="201" customWidth="1"/>
    <col min="3041" max="3048" width="13.7109375" style="201" customWidth="1"/>
    <col min="3049" max="3050" width="14.7109375" style="201" customWidth="1"/>
    <col min="3051" max="3053" width="13.7109375" style="201" customWidth="1"/>
    <col min="3054" max="3058" width="14.140625" style="201" customWidth="1"/>
    <col min="3059" max="3279" width="11.42578125" style="201"/>
    <col min="3280" max="3280" width="16.7109375" style="201" customWidth="1"/>
    <col min="3281" max="3285" width="0" style="201" hidden="1" customWidth="1"/>
    <col min="3286" max="3286" width="29.7109375" style="201" customWidth="1"/>
    <col min="3287" max="3295" width="13.7109375" style="201" customWidth="1"/>
    <col min="3296" max="3296" width="14.140625" style="201" customWidth="1"/>
    <col min="3297" max="3304" width="13.7109375" style="201" customWidth="1"/>
    <col min="3305" max="3306" width="14.7109375" style="201" customWidth="1"/>
    <col min="3307" max="3309" width="13.7109375" style="201" customWidth="1"/>
    <col min="3310" max="3314" width="14.140625" style="201" customWidth="1"/>
    <col min="3315" max="3535" width="11.42578125" style="201"/>
    <col min="3536" max="3536" width="16.7109375" style="201" customWidth="1"/>
    <col min="3537" max="3541" width="0" style="201" hidden="1" customWidth="1"/>
    <col min="3542" max="3542" width="29.7109375" style="201" customWidth="1"/>
    <col min="3543" max="3551" width="13.7109375" style="201" customWidth="1"/>
    <col min="3552" max="3552" width="14.140625" style="201" customWidth="1"/>
    <col min="3553" max="3560" width="13.7109375" style="201" customWidth="1"/>
    <col min="3561" max="3562" width="14.7109375" style="201" customWidth="1"/>
    <col min="3563" max="3565" width="13.7109375" style="201" customWidth="1"/>
    <col min="3566" max="3570" width="14.140625" style="201" customWidth="1"/>
    <col min="3571" max="3791" width="11.42578125" style="201"/>
    <col min="3792" max="3792" width="16.7109375" style="201" customWidth="1"/>
    <col min="3793" max="3797" width="0" style="201" hidden="1" customWidth="1"/>
    <col min="3798" max="3798" width="29.7109375" style="201" customWidth="1"/>
    <col min="3799" max="3807" width="13.7109375" style="201" customWidth="1"/>
    <col min="3808" max="3808" width="14.140625" style="201" customWidth="1"/>
    <col min="3809" max="3816" width="13.7109375" style="201" customWidth="1"/>
    <col min="3817" max="3818" width="14.7109375" style="201" customWidth="1"/>
    <col min="3819" max="3821" width="13.7109375" style="201" customWidth="1"/>
    <col min="3822" max="3826" width="14.140625" style="201" customWidth="1"/>
    <col min="3827" max="4047" width="11.42578125" style="201"/>
    <col min="4048" max="4048" width="16.7109375" style="201" customWidth="1"/>
    <col min="4049" max="4053" width="0" style="201" hidden="1" customWidth="1"/>
    <col min="4054" max="4054" width="29.7109375" style="201" customWidth="1"/>
    <col min="4055" max="4063" width="13.7109375" style="201" customWidth="1"/>
    <col min="4064" max="4064" width="14.140625" style="201" customWidth="1"/>
    <col min="4065" max="4072" width="13.7109375" style="201" customWidth="1"/>
    <col min="4073" max="4074" width="14.7109375" style="201" customWidth="1"/>
    <col min="4075" max="4077" width="13.7109375" style="201" customWidth="1"/>
    <col min="4078" max="4082" width="14.140625" style="201" customWidth="1"/>
    <col min="4083" max="4303" width="11.42578125" style="201"/>
    <col min="4304" max="4304" width="16.7109375" style="201" customWidth="1"/>
    <col min="4305" max="4309" width="0" style="201" hidden="1" customWidth="1"/>
    <col min="4310" max="4310" width="29.7109375" style="201" customWidth="1"/>
    <col min="4311" max="4319" width="13.7109375" style="201" customWidth="1"/>
    <col min="4320" max="4320" width="14.140625" style="201" customWidth="1"/>
    <col min="4321" max="4328" width="13.7109375" style="201" customWidth="1"/>
    <col min="4329" max="4330" width="14.7109375" style="201" customWidth="1"/>
    <col min="4331" max="4333" width="13.7109375" style="201" customWidth="1"/>
    <col min="4334" max="4338" width="14.140625" style="201" customWidth="1"/>
    <col min="4339" max="4559" width="11.42578125" style="201"/>
    <col min="4560" max="4560" width="16.7109375" style="201" customWidth="1"/>
    <col min="4561" max="4565" width="0" style="201" hidden="1" customWidth="1"/>
    <col min="4566" max="4566" width="29.7109375" style="201" customWidth="1"/>
    <col min="4567" max="4575" width="13.7109375" style="201" customWidth="1"/>
    <col min="4576" max="4576" width="14.140625" style="201" customWidth="1"/>
    <col min="4577" max="4584" width="13.7109375" style="201" customWidth="1"/>
    <col min="4585" max="4586" width="14.7109375" style="201" customWidth="1"/>
    <col min="4587" max="4589" width="13.7109375" style="201" customWidth="1"/>
    <col min="4590" max="4594" width="14.140625" style="201" customWidth="1"/>
    <col min="4595" max="4815" width="11.42578125" style="201"/>
    <col min="4816" max="4816" width="16.7109375" style="201" customWidth="1"/>
    <col min="4817" max="4821" width="0" style="201" hidden="1" customWidth="1"/>
    <col min="4822" max="4822" width="29.7109375" style="201" customWidth="1"/>
    <col min="4823" max="4831" width="13.7109375" style="201" customWidth="1"/>
    <col min="4832" max="4832" width="14.140625" style="201" customWidth="1"/>
    <col min="4833" max="4840" width="13.7109375" style="201" customWidth="1"/>
    <col min="4841" max="4842" width="14.7109375" style="201" customWidth="1"/>
    <col min="4843" max="4845" width="13.7109375" style="201" customWidth="1"/>
    <col min="4846" max="4850" width="14.140625" style="201" customWidth="1"/>
    <col min="4851" max="5071" width="11.42578125" style="201"/>
    <col min="5072" max="5072" width="16.7109375" style="201" customWidth="1"/>
    <col min="5073" max="5077" width="0" style="201" hidden="1" customWidth="1"/>
    <col min="5078" max="5078" width="29.7109375" style="201" customWidth="1"/>
    <col min="5079" max="5087" width="13.7109375" style="201" customWidth="1"/>
    <col min="5088" max="5088" width="14.140625" style="201" customWidth="1"/>
    <col min="5089" max="5096" width="13.7109375" style="201" customWidth="1"/>
    <col min="5097" max="5098" width="14.7109375" style="201" customWidth="1"/>
    <col min="5099" max="5101" width="13.7109375" style="201" customWidth="1"/>
    <col min="5102" max="5106" width="14.140625" style="201" customWidth="1"/>
    <col min="5107" max="5327" width="11.42578125" style="201"/>
    <col min="5328" max="5328" width="16.7109375" style="201" customWidth="1"/>
    <col min="5329" max="5333" width="0" style="201" hidden="1" customWidth="1"/>
    <col min="5334" max="5334" width="29.7109375" style="201" customWidth="1"/>
    <col min="5335" max="5343" width="13.7109375" style="201" customWidth="1"/>
    <col min="5344" max="5344" width="14.140625" style="201" customWidth="1"/>
    <col min="5345" max="5352" width="13.7109375" style="201" customWidth="1"/>
    <col min="5353" max="5354" width="14.7109375" style="201" customWidth="1"/>
    <col min="5355" max="5357" width="13.7109375" style="201" customWidth="1"/>
    <col min="5358" max="5362" width="14.140625" style="201" customWidth="1"/>
    <col min="5363" max="5583" width="11.42578125" style="201"/>
    <col min="5584" max="5584" width="16.7109375" style="201" customWidth="1"/>
    <col min="5585" max="5589" width="0" style="201" hidden="1" customWidth="1"/>
    <col min="5590" max="5590" width="29.7109375" style="201" customWidth="1"/>
    <col min="5591" max="5599" width="13.7109375" style="201" customWidth="1"/>
    <col min="5600" max="5600" width="14.140625" style="201" customWidth="1"/>
    <col min="5601" max="5608" width="13.7109375" style="201" customWidth="1"/>
    <col min="5609" max="5610" width="14.7109375" style="201" customWidth="1"/>
    <col min="5611" max="5613" width="13.7109375" style="201" customWidth="1"/>
    <col min="5614" max="5618" width="14.140625" style="201" customWidth="1"/>
    <col min="5619" max="5839" width="11.42578125" style="201"/>
    <col min="5840" max="5840" width="16.7109375" style="201" customWidth="1"/>
    <col min="5841" max="5845" width="0" style="201" hidden="1" customWidth="1"/>
    <col min="5846" max="5846" width="29.7109375" style="201" customWidth="1"/>
    <col min="5847" max="5855" width="13.7109375" style="201" customWidth="1"/>
    <col min="5856" max="5856" width="14.140625" style="201" customWidth="1"/>
    <col min="5857" max="5864" width="13.7109375" style="201" customWidth="1"/>
    <col min="5865" max="5866" width="14.7109375" style="201" customWidth="1"/>
    <col min="5867" max="5869" width="13.7109375" style="201" customWidth="1"/>
    <col min="5870" max="5874" width="14.140625" style="201" customWidth="1"/>
    <col min="5875" max="6095" width="11.42578125" style="201"/>
    <col min="6096" max="6096" width="16.7109375" style="201" customWidth="1"/>
    <col min="6097" max="6101" width="0" style="201" hidden="1" customWidth="1"/>
    <col min="6102" max="6102" width="29.7109375" style="201" customWidth="1"/>
    <col min="6103" max="6111" width="13.7109375" style="201" customWidth="1"/>
    <col min="6112" max="6112" width="14.140625" style="201" customWidth="1"/>
    <col min="6113" max="6120" width="13.7109375" style="201" customWidth="1"/>
    <col min="6121" max="6122" width="14.7109375" style="201" customWidth="1"/>
    <col min="6123" max="6125" width="13.7109375" style="201" customWidth="1"/>
    <col min="6126" max="6130" width="14.140625" style="201" customWidth="1"/>
    <col min="6131" max="6351" width="11.42578125" style="201"/>
    <col min="6352" max="6352" width="16.7109375" style="201" customWidth="1"/>
    <col min="6353" max="6357" width="0" style="201" hidden="1" customWidth="1"/>
    <col min="6358" max="6358" width="29.7109375" style="201" customWidth="1"/>
    <col min="6359" max="6367" width="13.7109375" style="201" customWidth="1"/>
    <col min="6368" max="6368" width="14.140625" style="201" customWidth="1"/>
    <col min="6369" max="6376" width="13.7109375" style="201" customWidth="1"/>
    <col min="6377" max="6378" width="14.7109375" style="201" customWidth="1"/>
    <col min="6379" max="6381" width="13.7109375" style="201" customWidth="1"/>
    <col min="6382" max="6386" width="14.140625" style="201" customWidth="1"/>
    <col min="6387" max="6607" width="11.42578125" style="201"/>
    <col min="6608" max="6608" width="16.7109375" style="201" customWidth="1"/>
    <col min="6609" max="6613" width="0" style="201" hidden="1" customWidth="1"/>
    <col min="6614" max="6614" width="29.7109375" style="201" customWidth="1"/>
    <col min="6615" max="6623" width="13.7109375" style="201" customWidth="1"/>
    <col min="6624" max="6624" width="14.140625" style="201" customWidth="1"/>
    <col min="6625" max="6632" width="13.7109375" style="201" customWidth="1"/>
    <col min="6633" max="6634" width="14.7109375" style="201" customWidth="1"/>
    <col min="6635" max="6637" width="13.7109375" style="201" customWidth="1"/>
    <col min="6638" max="6642" width="14.140625" style="201" customWidth="1"/>
    <col min="6643" max="6863" width="11.42578125" style="201"/>
    <col min="6864" max="6864" width="16.7109375" style="201" customWidth="1"/>
    <col min="6865" max="6869" width="0" style="201" hidden="1" customWidth="1"/>
    <col min="6870" max="6870" width="29.7109375" style="201" customWidth="1"/>
    <col min="6871" max="6879" width="13.7109375" style="201" customWidth="1"/>
    <col min="6880" max="6880" width="14.140625" style="201" customWidth="1"/>
    <col min="6881" max="6888" width="13.7109375" style="201" customWidth="1"/>
    <col min="6889" max="6890" width="14.7109375" style="201" customWidth="1"/>
    <col min="6891" max="6893" width="13.7109375" style="201" customWidth="1"/>
    <col min="6894" max="6898" width="14.140625" style="201" customWidth="1"/>
    <col min="6899" max="7119" width="11.42578125" style="201"/>
    <col min="7120" max="7120" width="16.7109375" style="201" customWidth="1"/>
    <col min="7121" max="7125" width="0" style="201" hidden="1" customWidth="1"/>
    <col min="7126" max="7126" width="29.7109375" style="201" customWidth="1"/>
    <col min="7127" max="7135" width="13.7109375" style="201" customWidth="1"/>
    <col min="7136" max="7136" width="14.140625" style="201" customWidth="1"/>
    <col min="7137" max="7144" width="13.7109375" style="201" customWidth="1"/>
    <col min="7145" max="7146" width="14.7109375" style="201" customWidth="1"/>
    <col min="7147" max="7149" width="13.7109375" style="201" customWidth="1"/>
    <col min="7150" max="7154" width="14.140625" style="201" customWidth="1"/>
    <col min="7155" max="7375" width="11.42578125" style="201"/>
    <col min="7376" max="7376" width="16.7109375" style="201" customWidth="1"/>
    <col min="7377" max="7381" width="0" style="201" hidden="1" customWidth="1"/>
    <col min="7382" max="7382" width="29.7109375" style="201" customWidth="1"/>
    <col min="7383" max="7391" width="13.7109375" style="201" customWidth="1"/>
    <col min="7392" max="7392" width="14.140625" style="201" customWidth="1"/>
    <col min="7393" max="7400" width="13.7109375" style="201" customWidth="1"/>
    <col min="7401" max="7402" width="14.7109375" style="201" customWidth="1"/>
    <col min="7403" max="7405" width="13.7109375" style="201" customWidth="1"/>
    <col min="7406" max="7410" width="14.140625" style="201" customWidth="1"/>
    <col min="7411" max="7631" width="11.42578125" style="201"/>
    <col min="7632" max="7632" width="16.7109375" style="201" customWidth="1"/>
    <col min="7633" max="7637" width="0" style="201" hidden="1" customWidth="1"/>
    <col min="7638" max="7638" width="29.7109375" style="201" customWidth="1"/>
    <col min="7639" max="7647" width="13.7109375" style="201" customWidth="1"/>
    <col min="7648" max="7648" width="14.140625" style="201" customWidth="1"/>
    <col min="7649" max="7656" width="13.7109375" style="201" customWidth="1"/>
    <col min="7657" max="7658" width="14.7109375" style="201" customWidth="1"/>
    <col min="7659" max="7661" width="13.7109375" style="201" customWidth="1"/>
    <col min="7662" max="7666" width="14.140625" style="201" customWidth="1"/>
    <col min="7667" max="7887" width="11.42578125" style="201"/>
    <col min="7888" max="7888" width="16.7109375" style="201" customWidth="1"/>
    <col min="7889" max="7893" width="0" style="201" hidden="1" customWidth="1"/>
    <col min="7894" max="7894" width="29.7109375" style="201" customWidth="1"/>
    <col min="7895" max="7903" width="13.7109375" style="201" customWidth="1"/>
    <col min="7904" max="7904" width="14.140625" style="201" customWidth="1"/>
    <col min="7905" max="7912" width="13.7109375" style="201" customWidth="1"/>
    <col min="7913" max="7914" width="14.7109375" style="201" customWidth="1"/>
    <col min="7915" max="7917" width="13.7109375" style="201" customWidth="1"/>
    <col min="7918" max="7922" width="14.140625" style="201" customWidth="1"/>
    <col min="7923" max="8143" width="11.42578125" style="201"/>
    <col min="8144" max="8144" width="16.7109375" style="201" customWidth="1"/>
    <col min="8145" max="8149" width="0" style="201" hidden="1" customWidth="1"/>
    <col min="8150" max="8150" width="29.7109375" style="201" customWidth="1"/>
    <col min="8151" max="8159" width="13.7109375" style="201" customWidth="1"/>
    <col min="8160" max="8160" width="14.140625" style="201" customWidth="1"/>
    <col min="8161" max="8168" width="13.7109375" style="201" customWidth="1"/>
    <col min="8169" max="8170" width="14.7109375" style="201" customWidth="1"/>
    <col min="8171" max="8173" width="13.7109375" style="201" customWidth="1"/>
    <col min="8174" max="8178" width="14.140625" style="201" customWidth="1"/>
    <col min="8179" max="8399" width="11.42578125" style="201"/>
    <col min="8400" max="8400" width="16.7109375" style="201" customWidth="1"/>
    <col min="8401" max="8405" width="0" style="201" hidden="1" customWidth="1"/>
    <col min="8406" max="8406" width="29.7109375" style="201" customWidth="1"/>
    <col min="8407" max="8415" width="13.7109375" style="201" customWidth="1"/>
    <col min="8416" max="8416" width="14.140625" style="201" customWidth="1"/>
    <col min="8417" max="8424" width="13.7109375" style="201" customWidth="1"/>
    <col min="8425" max="8426" width="14.7109375" style="201" customWidth="1"/>
    <col min="8427" max="8429" width="13.7109375" style="201" customWidth="1"/>
    <col min="8430" max="8434" width="14.140625" style="201" customWidth="1"/>
    <col min="8435" max="8655" width="11.42578125" style="201"/>
    <col min="8656" max="8656" width="16.7109375" style="201" customWidth="1"/>
    <col min="8657" max="8661" width="0" style="201" hidden="1" customWidth="1"/>
    <col min="8662" max="8662" width="29.7109375" style="201" customWidth="1"/>
    <col min="8663" max="8671" width="13.7109375" style="201" customWidth="1"/>
    <col min="8672" max="8672" width="14.140625" style="201" customWidth="1"/>
    <col min="8673" max="8680" width="13.7109375" style="201" customWidth="1"/>
    <col min="8681" max="8682" width="14.7109375" style="201" customWidth="1"/>
    <col min="8683" max="8685" width="13.7109375" style="201" customWidth="1"/>
    <col min="8686" max="8690" width="14.140625" style="201" customWidth="1"/>
    <col min="8691" max="8911" width="11.42578125" style="201"/>
    <col min="8912" max="8912" width="16.7109375" style="201" customWidth="1"/>
    <col min="8913" max="8917" width="0" style="201" hidden="1" customWidth="1"/>
    <col min="8918" max="8918" width="29.7109375" style="201" customWidth="1"/>
    <col min="8919" max="8927" width="13.7109375" style="201" customWidth="1"/>
    <col min="8928" max="8928" width="14.140625" style="201" customWidth="1"/>
    <col min="8929" max="8936" width="13.7109375" style="201" customWidth="1"/>
    <col min="8937" max="8938" width="14.7109375" style="201" customWidth="1"/>
    <col min="8939" max="8941" width="13.7109375" style="201" customWidth="1"/>
    <col min="8942" max="8946" width="14.140625" style="201" customWidth="1"/>
    <col min="8947" max="9167" width="11.42578125" style="201"/>
    <col min="9168" max="9168" width="16.7109375" style="201" customWidth="1"/>
    <col min="9169" max="9173" width="0" style="201" hidden="1" customWidth="1"/>
    <col min="9174" max="9174" width="29.7109375" style="201" customWidth="1"/>
    <col min="9175" max="9183" width="13.7109375" style="201" customWidth="1"/>
    <col min="9184" max="9184" width="14.140625" style="201" customWidth="1"/>
    <col min="9185" max="9192" width="13.7109375" style="201" customWidth="1"/>
    <col min="9193" max="9194" width="14.7109375" style="201" customWidth="1"/>
    <col min="9195" max="9197" width="13.7109375" style="201" customWidth="1"/>
    <col min="9198" max="9202" width="14.140625" style="201" customWidth="1"/>
    <col min="9203" max="9423" width="11.42578125" style="201"/>
    <col min="9424" max="9424" width="16.7109375" style="201" customWidth="1"/>
    <col min="9425" max="9429" width="0" style="201" hidden="1" customWidth="1"/>
    <col min="9430" max="9430" width="29.7109375" style="201" customWidth="1"/>
    <col min="9431" max="9439" width="13.7109375" style="201" customWidth="1"/>
    <col min="9440" max="9440" width="14.140625" style="201" customWidth="1"/>
    <col min="9441" max="9448" width="13.7109375" style="201" customWidth="1"/>
    <col min="9449" max="9450" width="14.7109375" style="201" customWidth="1"/>
    <col min="9451" max="9453" width="13.7109375" style="201" customWidth="1"/>
    <col min="9454" max="9458" width="14.140625" style="201" customWidth="1"/>
    <col min="9459" max="9679" width="11.42578125" style="201"/>
    <col min="9680" max="9680" width="16.7109375" style="201" customWidth="1"/>
    <col min="9681" max="9685" width="0" style="201" hidden="1" customWidth="1"/>
    <col min="9686" max="9686" width="29.7109375" style="201" customWidth="1"/>
    <col min="9687" max="9695" width="13.7109375" style="201" customWidth="1"/>
    <col min="9696" max="9696" width="14.140625" style="201" customWidth="1"/>
    <col min="9697" max="9704" width="13.7109375" style="201" customWidth="1"/>
    <col min="9705" max="9706" width="14.7109375" style="201" customWidth="1"/>
    <col min="9707" max="9709" width="13.7109375" style="201" customWidth="1"/>
    <col min="9710" max="9714" width="14.140625" style="201" customWidth="1"/>
    <col min="9715" max="9935" width="11.42578125" style="201"/>
    <col min="9936" max="9936" width="16.7109375" style="201" customWidth="1"/>
    <col min="9937" max="9941" width="0" style="201" hidden="1" customWidth="1"/>
    <col min="9942" max="9942" width="29.7109375" style="201" customWidth="1"/>
    <col min="9943" max="9951" width="13.7109375" style="201" customWidth="1"/>
    <col min="9952" max="9952" width="14.140625" style="201" customWidth="1"/>
    <col min="9953" max="9960" width="13.7109375" style="201" customWidth="1"/>
    <col min="9961" max="9962" width="14.7109375" style="201" customWidth="1"/>
    <col min="9963" max="9965" width="13.7109375" style="201" customWidth="1"/>
    <col min="9966" max="9970" width="14.140625" style="201" customWidth="1"/>
    <col min="9971" max="10191" width="11.42578125" style="201"/>
    <col min="10192" max="10192" width="16.7109375" style="201" customWidth="1"/>
    <col min="10193" max="10197" width="0" style="201" hidden="1" customWidth="1"/>
    <col min="10198" max="10198" width="29.7109375" style="201" customWidth="1"/>
    <col min="10199" max="10207" width="13.7109375" style="201" customWidth="1"/>
    <col min="10208" max="10208" width="14.140625" style="201" customWidth="1"/>
    <col min="10209" max="10216" width="13.7109375" style="201" customWidth="1"/>
    <col min="10217" max="10218" width="14.7109375" style="201" customWidth="1"/>
    <col min="10219" max="10221" width="13.7109375" style="201" customWidth="1"/>
    <col min="10222" max="10226" width="14.140625" style="201" customWidth="1"/>
    <col min="10227" max="10447" width="11.42578125" style="201"/>
    <col min="10448" max="10448" width="16.7109375" style="201" customWidth="1"/>
    <col min="10449" max="10453" width="0" style="201" hidden="1" customWidth="1"/>
    <col min="10454" max="10454" width="29.7109375" style="201" customWidth="1"/>
    <col min="10455" max="10463" width="13.7109375" style="201" customWidth="1"/>
    <col min="10464" max="10464" width="14.140625" style="201" customWidth="1"/>
    <col min="10465" max="10472" width="13.7109375" style="201" customWidth="1"/>
    <col min="10473" max="10474" width="14.7109375" style="201" customWidth="1"/>
    <col min="10475" max="10477" width="13.7109375" style="201" customWidth="1"/>
    <col min="10478" max="10482" width="14.140625" style="201" customWidth="1"/>
    <col min="10483" max="10703" width="11.42578125" style="201"/>
    <col min="10704" max="10704" width="16.7109375" style="201" customWidth="1"/>
    <col min="10705" max="10709" width="0" style="201" hidden="1" customWidth="1"/>
    <col min="10710" max="10710" width="29.7109375" style="201" customWidth="1"/>
    <col min="10711" max="10719" width="13.7109375" style="201" customWidth="1"/>
    <col min="10720" max="10720" width="14.140625" style="201" customWidth="1"/>
    <col min="10721" max="10728" width="13.7109375" style="201" customWidth="1"/>
    <col min="10729" max="10730" width="14.7109375" style="201" customWidth="1"/>
    <col min="10731" max="10733" width="13.7109375" style="201" customWidth="1"/>
    <col min="10734" max="10738" width="14.140625" style="201" customWidth="1"/>
    <col min="10739" max="10959" width="11.42578125" style="201"/>
    <col min="10960" max="10960" width="16.7109375" style="201" customWidth="1"/>
    <col min="10961" max="10965" width="0" style="201" hidden="1" customWidth="1"/>
    <col min="10966" max="10966" width="29.7109375" style="201" customWidth="1"/>
    <col min="10967" max="10975" width="13.7109375" style="201" customWidth="1"/>
    <col min="10976" max="10976" width="14.140625" style="201" customWidth="1"/>
    <col min="10977" max="10984" width="13.7109375" style="201" customWidth="1"/>
    <col min="10985" max="10986" width="14.7109375" style="201" customWidth="1"/>
    <col min="10987" max="10989" width="13.7109375" style="201" customWidth="1"/>
    <col min="10990" max="10994" width="14.140625" style="201" customWidth="1"/>
    <col min="10995" max="11215" width="11.42578125" style="201"/>
    <col min="11216" max="11216" width="16.7109375" style="201" customWidth="1"/>
    <col min="11217" max="11221" width="0" style="201" hidden="1" customWidth="1"/>
    <col min="11222" max="11222" width="29.7109375" style="201" customWidth="1"/>
    <col min="11223" max="11231" width="13.7109375" style="201" customWidth="1"/>
    <col min="11232" max="11232" width="14.140625" style="201" customWidth="1"/>
    <col min="11233" max="11240" width="13.7109375" style="201" customWidth="1"/>
    <col min="11241" max="11242" width="14.7109375" style="201" customWidth="1"/>
    <col min="11243" max="11245" width="13.7109375" style="201" customWidth="1"/>
    <col min="11246" max="11250" width="14.140625" style="201" customWidth="1"/>
    <col min="11251" max="11471" width="11.42578125" style="201"/>
    <col min="11472" max="11472" width="16.7109375" style="201" customWidth="1"/>
    <col min="11473" max="11477" width="0" style="201" hidden="1" customWidth="1"/>
    <col min="11478" max="11478" width="29.7109375" style="201" customWidth="1"/>
    <col min="11479" max="11487" width="13.7109375" style="201" customWidth="1"/>
    <col min="11488" max="11488" width="14.140625" style="201" customWidth="1"/>
    <col min="11489" max="11496" width="13.7109375" style="201" customWidth="1"/>
    <col min="11497" max="11498" width="14.7109375" style="201" customWidth="1"/>
    <col min="11499" max="11501" width="13.7109375" style="201" customWidth="1"/>
    <col min="11502" max="11506" width="14.140625" style="201" customWidth="1"/>
    <col min="11507" max="11727" width="11.42578125" style="201"/>
    <col min="11728" max="11728" width="16.7109375" style="201" customWidth="1"/>
    <col min="11729" max="11733" width="0" style="201" hidden="1" customWidth="1"/>
    <col min="11734" max="11734" width="29.7109375" style="201" customWidth="1"/>
    <col min="11735" max="11743" width="13.7109375" style="201" customWidth="1"/>
    <col min="11744" max="11744" width="14.140625" style="201" customWidth="1"/>
    <col min="11745" max="11752" width="13.7109375" style="201" customWidth="1"/>
    <col min="11753" max="11754" width="14.7109375" style="201" customWidth="1"/>
    <col min="11755" max="11757" width="13.7109375" style="201" customWidth="1"/>
    <col min="11758" max="11762" width="14.140625" style="201" customWidth="1"/>
    <col min="11763" max="11983" width="11.42578125" style="201"/>
    <col min="11984" max="11984" width="16.7109375" style="201" customWidth="1"/>
    <col min="11985" max="11989" width="0" style="201" hidden="1" customWidth="1"/>
    <col min="11990" max="11990" width="29.7109375" style="201" customWidth="1"/>
    <col min="11991" max="11999" width="13.7109375" style="201" customWidth="1"/>
    <col min="12000" max="12000" width="14.140625" style="201" customWidth="1"/>
    <col min="12001" max="12008" width="13.7109375" style="201" customWidth="1"/>
    <col min="12009" max="12010" width="14.7109375" style="201" customWidth="1"/>
    <col min="12011" max="12013" width="13.7109375" style="201" customWidth="1"/>
    <col min="12014" max="12018" width="14.140625" style="201" customWidth="1"/>
    <col min="12019" max="12239" width="11.42578125" style="201"/>
    <col min="12240" max="12240" width="16.7109375" style="201" customWidth="1"/>
    <col min="12241" max="12245" width="0" style="201" hidden="1" customWidth="1"/>
    <col min="12246" max="12246" width="29.7109375" style="201" customWidth="1"/>
    <col min="12247" max="12255" width="13.7109375" style="201" customWidth="1"/>
    <col min="12256" max="12256" width="14.140625" style="201" customWidth="1"/>
    <col min="12257" max="12264" width="13.7109375" style="201" customWidth="1"/>
    <col min="12265" max="12266" width="14.7109375" style="201" customWidth="1"/>
    <col min="12267" max="12269" width="13.7109375" style="201" customWidth="1"/>
    <col min="12270" max="12274" width="14.140625" style="201" customWidth="1"/>
    <col min="12275" max="12495" width="11.42578125" style="201"/>
    <col min="12496" max="12496" width="16.7109375" style="201" customWidth="1"/>
    <col min="12497" max="12501" width="0" style="201" hidden="1" customWidth="1"/>
    <col min="12502" max="12502" width="29.7109375" style="201" customWidth="1"/>
    <col min="12503" max="12511" width="13.7109375" style="201" customWidth="1"/>
    <col min="12512" max="12512" width="14.140625" style="201" customWidth="1"/>
    <col min="12513" max="12520" width="13.7109375" style="201" customWidth="1"/>
    <col min="12521" max="12522" width="14.7109375" style="201" customWidth="1"/>
    <col min="12523" max="12525" width="13.7109375" style="201" customWidth="1"/>
    <col min="12526" max="12530" width="14.140625" style="201" customWidth="1"/>
    <col min="12531" max="12751" width="11.42578125" style="201"/>
    <col min="12752" max="12752" width="16.7109375" style="201" customWidth="1"/>
    <col min="12753" max="12757" width="0" style="201" hidden="1" customWidth="1"/>
    <col min="12758" max="12758" width="29.7109375" style="201" customWidth="1"/>
    <col min="12759" max="12767" width="13.7109375" style="201" customWidth="1"/>
    <col min="12768" max="12768" width="14.140625" style="201" customWidth="1"/>
    <col min="12769" max="12776" width="13.7109375" style="201" customWidth="1"/>
    <col min="12777" max="12778" width="14.7109375" style="201" customWidth="1"/>
    <col min="12779" max="12781" width="13.7109375" style="201" customWidth="1"/>
    <col min="12782" max="12786" width="14.140625" style="201" customWidth="1"/>
    <col min="12787" max="13007" width="11.42578125" style="201"/>
    <col min="13008" max="13008" width="16.7109375" style="201" customWidth="1"/>
    <col min="13009" max="13013" width="0" style="201" hidden="1" customWidth="1"/>
    <col min="13014" max="13014" width="29.7109375" style="201" customWidth="1"/>
    <col min="13015" max="13023" width="13.7109375" style="201" customWidth="1"/>
    <col min="13024" max="13024" width="14.140625" style="201" customWidth="1"/>
    <col min="13025" max="13032" width="13.7109375" style="201" customWidth="1"/>
    <col min="13033" max="13034" width="14.7109375" style="201" customWidth="1"/>
    <col min="13035" max="13037" width="13.7109375" style="201" customWidth="1"/>
    <col min="13038" max="13042" width="14.140625" style="201" customWidth="1"/>
    <col min="13043" max="13263" width="11.42578125" style="201"/>
    <col min="13264" max="13264" width="16.7109375" style="201" customWidth="1"/>
    <col min="13265" max="13269" width="0" style="201" hidden="1" customWidth="1"/>
    <col min="13270" max="13270" width="29.7109375" style="201" customWidth="1"/>
    <col min="13271" max="13279" width="13.7109375" style="201" customWidth="1"/>
    <col min="13280" max="13280" width="14.140625" style="201" customWidth="1"/>
    <col min="13281" max="13288" width="13.7109375" style="201" customWidth="1"/>
    <col min="13289" max="13290" width="14.7109375" style="201" customWidth="1"/>
    <col min="13291" max="13293" width="13.7109375" style="201" customWidth="1"/>
    <col min="13294" max="13298" width="14.140625" style="201" customWidth="1"/>
    <col min="13299" max="13519" width="11.42578125" style="201"/>
    <col min="13520" max="13520" width="16.7109375" style="201" customWidth="1"/>
    <col min="13521" max="13525" width="0" style="201" hidden="1" customWidth="1"/>
    <col min="13526" max="13526" width="29.7109375" style="201" customWidth="1"/>
    <col min="13527" max="13535" width="13.7109375" style="201" customWidth="1"/>
    <col min="13536" max="13536" width="14.140625" style="201" customWidth="1"/>
    <col min="13537" max="13544" width="13.7109375" style="201" customWidth="1"/>
    <col min="13545" max="13546" width="14.7109375" style="201" customWidth="1"/>
    <col min="13547" max="13549" width="13.7109375" style="201" customWidth="1"/>
    <col min="13550" max="13554" width="14.140625" style="201" customWidth="1"/>
    <col min="13555" max="13775" width="11.42578125" style="201"/>
    <col min="13776" max="13776" width="16.7109375" style="201" customWidth="1"/>
    <col min="13777" max="13781" width="0" style="201" hidden="1" customWidth="1"/>
    <col min="13782" max="13782" width="29.7109375" style="201" customWidth="1"/>
    <col min="13783" max="13791" width="13.7109375" style="201" customWidth="1"/>
    <col min="13792" max="13792" width="14.140625" style="201" customWidth="1"/>
    <col min="13793" max="13800" width="13.7109375" style="201" customWidth="1"/>
    <col min="13801" max="13802" width="14.7109375" style="201" customWidth="1"/>
    <col min="13803" max="13805" width="13.7109375" style="201" customWidth="1"/>
    <col min="13806" max="13810" width="14.140625" style="201" customWidth="1"/>
    <col min="13811" max="14031" width="11.42578125" style="201"/>
    <col min="14032" max="14032" width="16.7109375" style="201" customWidth="1"/>
    <col min="14033" max="14037" width="0" style="201" hidden="1" customWidth="1"/>
    <col min="14038" max="14038" width="29.7109375" style="201" customWidth="1"/>
    <col min="14039" max="14047" width="13.7109375" style="201" customWidth="1"/>
    <col min="14048" max="14048" width="14.140625" style="201" customWidth="1"/>
    <col min="14049" max="14056" width="13.7109375" style="201" customWidth="1"/>
    <col min="14057" max="14058" width="14.7109375" style="201" customWidth="1"/>
    <col min="14059" max="14061" width="13.7109375" style="201" customWidth="1"/>
    <col min="14062" max="14066" width="14.140625" style="201" customWidth="1"/>
    <col min="14067" max="14287" width="11.42578125" style="201"/>
    <col min="14288" max="14288" width="16.7109375" style="201" customWidth="1"/>
    <col min="14289" max="14293" width="0" style="201" hidden="1" customWidth="1"/>
    <col min="14294" max="14294" width="29.7109375" style="201" customWidth="1"/>
    <col min="14295" max="14303" width="13.7109375" style="201" customWidth="1"/>
    <col min="14304" max="14304" width="14.140625" style="201" customWidth="1"/>
    <col min="14305" max="14312" width="13.7109375" style="201" customWidth="1"/>
    <col min="14313" max="14314" width="14.7109375" style="201" customWidth="1"/>
    <col min="14315" max="14317" width="13.7109375" style="201" customWidth="1"/>
    <col min="14318" max="14322" width="14.140625" style="201" customWidth="1"/>
    <col min="14323" max="14543" width="11.42578125" style="201"/>
    <col min="14544" max="14544" width="16.7109375" style="201" customWidth="1"/>
    <col min="14545" max="14549" width="0" style="201" hidden="1" customWidth="1"/>
    <col min="14550" max="14550" width="29.7109375" style="201" customWidth="1"/>
    <col min="14551" max="14559" width="13.7109375" style="201" customWidth="1"/>
    <col min="14560" max="14560" width="14.140625" style="201" customWidth="1"/>
    <col min="14561" max="14568" width="13.7109375" style="201" customWidth="1"/>
    <col min="14569" max="14570" width="14.7109375" style="201" customWidth="1"/>
    <col min="14571" max="14573" width="13.7109375" style="201" customWidth="1"/>
    <col min="14574" max="14578" width="14.140625" style="201" customWidth="1"/>
    <col min="14579" max="14799" width="11.42578125" style="201"/>
    <col min="14800" max="14800" width="16.7109375" style="201" customWidth="1"/>
    <col min="14801" max="14805" width="0" style="201" hidden="1" customWidth="1"/>
    <col min="14806" max="14806" width="29.7109375" style="201" customWidth="1"/>
    <col min="14807" max="14815" width="13.7109375" style="201" customWidth="1"/>
    <col min="14816" max="14816" width="14.140625" style="201" customWidth="1"/>
    <col min="14817" max="14824" width="13.7109375" style="201" customWidth="1"/>
    <col min="14825" max="14826" width="14.7109375" style="201" customWidth="1"/>
    <col min="14827" max="14829" width="13.7109375" style="201" customWidth="1"/>
    <col min="14830" max="14834" width="14.140625" style="201" customWidth="1"/>
    <col min="14835" max="15055" width="11.42578125" style="201"/>
    <col min="15056" max="15056" width="16.7109375" style="201" customWidth="1"/>
    <col min="15057" max="15061" width="0" style="201" hidden="1" customWidth="1"/>
    <col min="15062" max="15062" width="29.7109375" style="201" customWidth="1"/>
    <col min="15063" max="15071" width="13.7109375" style="201" customWidth="1"/>
    <col min="15072" max="15072" width="14.140625" style="201" customWidth="1"/>
    <col min="15073" max="15080" width="13.7109375" style="201" customWidth="1"/>
    <col min="15081" max="15082" width="14.7109375" style="201" customWidth="1"/>
    <col min="15083" max="15085" width="13.7109375" style="201" customWidth="1"/>
    <col min="15086" max="15090" width="14.140625" style="201" customWidth="1"/>
    <col min="15091" max="15311" width="11.42578125" style="201"/>
    <col min="15312" max="15312" width="16.7109375" style="201" customWidth="1"/>
    <col min="15313" max="15317" width="0" style="201" hidden="1" customWidth="1"/>
    <col min="15318" max="15318" width="29.7109375" style="201" customWidth="1"/>
    <col min="15319" max="15327" width="13.7109375" style="201" customWidth="1"/>
    <col min="15328" max="15328" width="14.140625" style="201" customWidth="1"/>
    <col min="15329" max="15336" width="13.7109375" style="201" customWidth="1"/>
    <col min="15337" max="15338" width="14.7109375" style="201" customWidth="1"/>
    <col min="15339" max="15341" width="13.7109375" style="201" customWidth="1"/>
    <col min="15342" max="15346" width="14.140625" style="201" customWidth="1"/>
    <col min="15347" max="15567" width="11.42578125" style="201"/>
    <col min="15568" max="15568" width="16.7109375" style="201" customWidth="1"/>
    <col min="15569" max="15573" width="0" style="201" hidden="1" customWidth="1"/>
    <col min="15574" max="15574" width="29.7109375" style="201" customWidth="1"/>
    <col min="15575" max="15583" width="13.7109375" style="201" customWidth="1"/>
    <col min="15584" max="15584" width="14.140625" style="201" customWidth="1"/>
    <col min="15585" max="15592" width="13.7109375" style="201" customWidth="1"/>
    <col min="15593" max="15594" width="14.7109375" style="201" customWidth="1"/>
    <col min="15595" max="15597" width="13.7109375" style="201" customWidth="1"/>
    <col min="15598" max="15602" width="14.140625" style="201" customWidth="1"/>
    <col min="15603" max="15823" width="11.42578125" style="201"/>
    <col min="15824" max="15824" width="16.7109375" style="201" customWidth="1"/>
    <col min="15825" max="15829" width="0" style="201" hidden="1" customWidth="1"/>
    <col min="15830" max="15830" width="29.7109375" style="201" customWidth="1"/>
    <col min="15831" max="15839" width="13.7109375" style="201" customWidth="1"/>
    <col min="15840" max="15840" width="14.140625" style="201" customWidth="1"/>
    <col min="15841" max="15848" width="13.7109375" style="201" customWidth="1"/>
    <col min="15849" max="15850" width="14.7109375" style="201" customWidth="1"/>
    <col min="15851" max="15853" width="13.7109375" style="201" customWidth="1"/>
    <col min="15854" max="15858" width="14.140625" style="201" customWidth="1"/>
    <col min="15859" max="16079" width="11.42578125" style="201"/>
    <col min="16080" max="16080" width="16.7109375" style="201" customWidth="1"/>
    <col min="16081" max="16085" width="0" style="201" hidden="1" customWidth="1"/>
    <col min="16086" max="16086" width="29.7109375" style="201" customWidth="1"/>
    <col min="16087" max="16095" width="13.7109375" style="201" customWidth="1"/>
    <col min="16096" max="16096" width="14.140625" style="201" customWidth="1"/>
    <col min="16097" max="16104" width="13.7109375" style="201" customWidth="1"/>
    <col min="16105" max="16106" width="14.7109375" style="201" customWidth="1"/>
    <col min="16107" max="16109" width="13.7109375" style="201" customWidth="1"/>
    <col min="16110" max="16114" width="14.140625" style="201" customWidth="1"/>
    <col min="16115" max="16384" width="11.42578125" style="201"/>
  </cols>
  <sheetData>
    <row r="1" spans="1:25" x14ac:dyDescent="0.2">
      <c r="A1" s="202" t="s">
        <v>422</v>
      </c>
    </row>
    <row r="2" spans="1:25" ht="14.45" customHeight="1" x14ac:dyDescent="0.2">
      <c r="B2" s="201"/>
      <c r="C2" s="201"/>
    </row>
    <row r="3" spans="1:25" ht="14.45" customHeight="1" x14ac:dyDescent="0.2">
      <c r="B3" s="201"/>
      <c r="C3" s="201"/>
    </row>
    <row r="4" spans="1:25" x14ac:dyDescent="0.2">
      <c r="A4" s="227" t="s">
        <v>398</v>
      </c>
      <c r="B4" s="157" t="s">
        <v>11</v>
      </c>
      <c r="C4" s="157">
        <v>160</v>
      </c>
      <c r="D4" s="157" t="s">
        <v>1</v>
      </c>
      <c r="E4" s="157">
        <v>900</v>
      </c>
      <c r="F4" s="157" t="s">
        <v>97</v>
      </c>
      <c r="G4" s="157">
        <v>300</v>
      </c>
      <c r="H4" s="157" t="s">
        <v>98</v>
      </c>
      <c r="I4" s="157">
        <v>3600</v>
      </c>
      <c r="J4" s="157" t="s">
        <v>99</v>
      </c>
      <c r="K4" s="157">
        <v>2400</v>
      </c>
      <c r="L4" s="157" t="s">
        <v>100</v>
      </c>
      <c r="M4" s="157">
        <v>3600</v>
      </c>
      <c r="N4" s="157" t="s">
        <v>101</v>
      </c>
      <c r="O4" s="157">
        <v>3600</v>
      </c>
      <c r="P4" s="157" t="s">
        <v>102</v>
      </c>
      <c r="Q4" s="157">
        <v>2400</v>
      </c>
      <c r="R4" s="157" t="s">
        <v>103</v>
      </c>
      <c r="S4" s="157">
        <v>2400</v>
      </c>
      <c r="T4" s="157" t="s">
        <v>104</v>
      </c>
      <c r="U4" s="157">
        <v>3200</v>
      </c>
      <c r="V4" s="157" t="s">
        <v>105</v>
      </c>
      <c r="W4" s="157">
        <v>3600</v>
      </c>
      <c r="X4" s="157" t="s">
        <v>106</v>
      </c>
      <c r="Y4" s="157">
        <v>2400</v>
      </c>
    </row>
    <row r="5" spans="1:25" x14ac:dyDescent="0.2">
      <c r="A5" s="227" t="s">
        <v>369</v>
      </c>
      <c r="B5" s="228" t="s">
        <v>370</v>
      </c>
      <c r="C5" s="229" t="s">
        <v>371</v>
      </c>
      <c r="D5" s="228" t="s">
        <v>370</v>
      </c>
      <c r="E5" s="229" t="s">
        <v>371</v>
      </c>
      <c r="F5" s="228" t="s">
        <v>370</v>
      </c>
      <c r="G5" s="229" t="s">
        <v>371</v>
      </c>
      <c r="H5" s="228" t="s">
        <v>370</v>
      </c>
      <c r="I5" s="229" t="s">
        <v>371</v>
      </c>
      <c r="J5" s="228" t="s">
        <v>370</v>
      </c>
      <c r="K5" s="229" t="s">
        <v>371</v>
      </c>
      <c r="L5" s="228" t="s">
        <v>370</v>
      </c>
      <c r="M5" s="229" t="s">
        <v>371</v>
      </c>
      <c r="N5" s="228" t="s">
        <v>370</v>
      </c>
      <c r="O5" s="229" t="s">
        <v>371</v>
      </c>
      <c r="P5" s="228" t="s">
        <v>370</v>
      </c>
      <c r="Q5" s="229" t="s">
        <v>371</v>
      </c>
      <c r="R5" s="228" t="s">
        <v>370</v>
      </c>
      <c r="S5" s="229" t="s">
        <v>371</v>
      </c>
      <c r="T5" s="228" t="s">
        <v>370</v>
      </c>
      <c r="U5" s="229" t="s">
        <v>371</v>
      </c>
      <c r="V5" s="228" t="s">
        <v>370</v>
      </c>
      <c r="W5" s="229" t="s">
        <v>371</v>
      </c>
      <c r="X5" s="228" t="s">
        <v>370</v>
      </c>
      <c r="Y5" s="229" t="s">
        <v>371</v>
      </c>
    </row>
    <row r="6" spans="1:25" x14ac:dyDescent="0.2">
      <c r="A6" s="227"/>
      <c r="B6" s="228" t="s">
        <v>372</v>
      </c>
      <c r="C6" s="229" t="s">
        <v>397</v>
      </c>
      <c r="D6" s="228" t="s">
        <v>372</v>
      </c>
      <c r="E6" s="229" t="s">
        <v>397</v>
      </c>
      <c r="F6" s="228" t="s">
        <v>372</v>
      </c>
      <c r="G6" s="229" t="s">
        <v>397</v>
      </c>
      <c r="H6" s="228" t="s">
        <v>372</v>
      </c>
      <c r="I6" s="229" t="s">
        <v>397</v>
      </c>
      <c r="J6" s="228" t="s">
        <v>372</v>
      </c>
      <c r="K6" s="229" t="s">
        <v>397</v>
      </c>
      <c r="L6" s="228" t="s">
        <v>372</v>
      </c>
      <c r="M6" s="229" t="s">
        <v>397</v>
      </c>
      <c r="N6" s="228" t="s">
        <v>372</v>
      </c>
      <c r="O6" s="229" t="s">
        <v>397</v>
      </c>
      <c r="P6" s="228" t="s">
        <v>372</v>
      </c>
      <c r="Q6" s="229" t="s">
        <v>397</v>
      </c>
      <c r="R6" s="228" t="s">
        <v>372</v>
      </c>
      <c r="S6" s="229" t="s">
        <v>397</v>
      </c>
      <c r="T6" s="228" t="s">
        <v>372</v>
      </c>
      <c r="U6" s="229" t="s">
        <v>397</v>
      </c>
      <c r="V6" s="228" t="s">
        <v>372</v>
      </c>
      <c r="W6" s="229" t="s">
        <v>397</v>
      </c>
      <c r="X6" s="228" t="s">
        <v>372</v>
      </c>
      <c r="Y6" s="229" t="s">
        <v>397</v>
      </c>
    </row>
    <row r="7" spans="1:25" x14ac:dyDescent="0.2">
      <c r="A7" s="204" t="s">
        <v>373</v>
      </c>
      <c r="B7" s="230">
        <v>3007</v>
      </c>
      <c r="C7" s="231">
        <v>18.8</v>
      </c>
      <c r="D7" s="230">
        <v>12381</v>
      </c>
      <c r="E7" s="231">
        <v>13.8</v>
      </c>
      <c r="F7" s="230">
        <v>9559</v>
      </c>
      <c r="G7" s="231">
        <v>31.9</v>
      </c>
      <c r="H7" s="230">
        <v>57373</v>
      </c>
      <c r="I7" s="231">
        <v>15.9</v>
      </c>
      <c r="J7" s="230">
        <v>33705</v>
      </c>
      <c r="K7" s="231">
        <v>14</v>
      </c>
      <c r="L7" s="230">
        <v>56978</v>
      </c>
      <c r="M7" s="231">
        <v>15.8</v>
      </c>
      <c r="N7" s="230">
        <v>68032</v>
      </c>
      <c r="O7" s="231">
        <v>18.899999999999999</v>
      </c>
      <c r="P7" s="230">
        <v>46167</v>
      </c>
      <c r="Q7" s="231">
        <v>19.2</v>
      </c>
      <c r="R7" s="230">
        <v>53002</v>
      </c>
      <c r="S7" s="231">
        <v>22.1</v>
      </c>
      <c r="T7" s="230">
        <v>64170</v>
      </c>
      <c r="U7" s="231">
        <v>20.100000000000001</v>
      </c>
      <c r="V7" s="230">
        <v>49766</v>
      </c>
      <c r="W7" s="231">
        <v>13.8</v>
      </c>
      <c r="X7" s="230">
        <v>54016</v>
      </c>
      <c r="Y7" s="231">
        <v>22.5</v>
      </c>
    </row>
    <row r="8" spans="1:25" x14ac:dyDescent="0.2">
      <c r="A8" s="204" t="s">
        <v>374</v>
      </c>
      <c r="B8" s="230">
        <v>170</v>
      </c>
      <c r="C8" s="231">
        <v>1.1000000000000001</v>
      </c>
      <c r="D8" s="230">
        <v>1018</v>
      </c>
      <c r="E8" s="231">
        <v>1.1000000000000001</v>
      </c>
      <c r="F8" s="230">
        <v>1148</v>
      </c>
      <c r="G8" s="231">
        <v>3.8</v>
      </c>
      <c r="H8" s="230">
        <v>14140</v>
      </c>
      <c r="I8" s="231">
        <v>3.9</v>
      </c>
      <c r="J8" s="230">
        <v>12724</v>
      </c>
      <c r="K8" s="231">
        <v>5.3</v>
      </c>
      <c r="L8" s="230">
        <v>15084</v>
      </c>
      <c r="M8" s="231">
        <v>4.2</v>
      </c>
      <c r="N8" s="230">
        <v>0</v>
      </c>
      <c r="O8" s="231">
        <v>0</v>
      </c>
      <c r="P8" s="230">
        <v>0</v>
      </c>
      <c r="Q8" s="231">
        <v>0</v>
      </c>
      <c r="R8" s="230">
        <v>6910</v>
      </c>
      <c r="S8" s="231">
        <v>2.9</v>
      </c>
      <c r="T8" s="230">
        <v>0</v>
      </c>
      <c r="U8" s="231">
        <v>0</v>
      </c>
      <c r="V8" s="230">
        <v>31516</v>
      </c>
      <c r="W8" s="231">
        <v>8.8000000000000007</v>
      </c>
      <c r="X8" s="230">
        <v>5216</v>
      </c>
      <c r="Y8" s="231">
        <v>2.2000000000000002</v>
      </c>
    </row>
    <row r="9" spans="1:25" x14ac:dyDescent="0.2">
      <c r="A9" s="204" t="s">
        <v>375</v>
      </c>
      <c r="B9" s="230">
        <v>4765</v>
      </c>
      <c r="C9" s="231">
        <v>29.8</v>
      </c>
      <c r="D9" s="230">
        <v>26792</v>
      </c>
      <c r="E9" s="231">
        <v>29.8</v>
      </c>
      <c r="F9" s="230">
        <v>3007</v>
      </c>
      <c r="G9" s="231">
        <v>10</v>
      </c>
      <c r="H9" s="230">
        <v>18040</v>
      </c>
      <c r="I9" s="231">
        <v>5</v>
      </c>
      <c r="J9" s="230">
        <v>24186</v>
      </c>
      <c r="K9" s="231">
        <v>10.1</v>
      </c>
      <c r="L9" s="230">
        <v>18040</v>
      </c>
      <c r="M9" s="231">
        <v>5</v>
      </c>
      <c r="N9" s="230">
        <v>107170</v>
      </c>
      <c r="O9" s="231">
        <v>29.8</v>
      </c>
      <c r="P9" s="230">
        <v>71482</v>
      </c>
      <c r="Q9" s="231">
        <v>29.8</v>
      </c>
      <c r="R9" s="230">
        <v>71482</v>
      </c>
      <c r="S9" s="231">
        <v>29.8</v>
      </c>
      <c r="T9" s="230">
        <v>161242</v>
      </c>
      <c r="U9" s="231">
        <v>50.4</v>
      </c>
      <c r="V9" s="230">
        <v>36525</v>
      </c>
      <c r="W9" s="231">
        <v>10.1</v>
      </c>
      <c r="X9" s="230">
        <v>24054</v>
      </c>
      <c r="Y9" s="231">
        <v>10</v>
      </c>
    </row>
    <row r="10" spans="1:25" x14ac:dyDescent="0.2">
      <c r="A10" s="204" t="s">
        <v>376</v>
      </c>
      <c r="B10" s="230">
        <v>701</v>
      </c>
      <c r="C10" s="231">
        <v>4.4000000000000004</v>
      </c>
      <c r="D10" s="230">
        <v>4925</v>
      </c>
      <c r="E10" s="231">
        <v>5.5</v>
      </c>
      <c r="F10" s="230">
        <v>2324</v>
      </c>
      <c r="G10" s="231">
        <v>7.7</v>
      </c>
      <c r="H10" s="230">
        <v>32229</v>
      </c>
      <c r="I10" s="231">
        <v>9</v>
      </c>
      <c r="J10" s="230">
        <v>20950</v>
      </c>
      <c r="K10" s="231">
        <v>8.6999999999999993</v>
      </c>
      <c r="L10" s="230">
        <v>37019</v>
      </c>
      <c r="M10" s="231">
        <v>10.3</v>
      </c>
      <c r="N10" s="230">
        <v>84708</v>
      </c>
      <c r="O10" s="231">
        <v>23.5</v>
      </c>
      <c r="P10" s="230">
        <v>44961</v>
      </c>
      <c r="Q10" s="231">
        <v>18.7</v>
      </c>
      <c r="R10" s="230">
        <v>30555</v>
      </c>
      <c r="S10" s="231">
        <v>12.7</v>
      </c>
      <c r="T10" s="230">
        <v>25110</v>
      </c>
      <c r="U10" s="231">
        <v>7.8</v>
      </c>
      <c r="V10" s="230">
        <v>67506</v>
      </c>
      <c r="W10" s="231">
        <v>18.8</v>
      </c>
      <c r="X10" s="230">
        <v>19047</v>
      </c>
      <c r="Y10" s="231">
        <v>7.9</v>
      </c>
    </row>
    <row r="11" spans="1:25" x14ac:dyDescent="0.2">
      <c r="A11" s="204" t="s">
        <v>377</v>
      </c>
      <c r="B11" s="230">
        <v>51</v>
      </c>
      <c r="C11" s="231">
        <v>0.3</v>
      </c>
      <c r="D11" s="230">
        <v>118</v>
      </c>
      <c r="E11" s="231">
        <v>0.1</v>
      </c>
      <c r="F11" s="230">
        <v>136</v>
      </c>
      <c r="G11" s="231">
        <v>0.5</v>
      </c>
      <c r="H11" s="230">
        <v>2917</v>
      </c>
      <c r="I11" s="231">
        <v>0.8</v>
      </c>
      <c r="J11" s="230">
        <v>718</v>
      </c>
      <c r="K11" s="231">
        <v>0.3</v>
      </c>
      <c r="L11" s="230">
        <v>3067</v>
      </c>
      <c r="M11" s="231">
        <v>0.9</v>
      </c>
      <c r="N11" s="230">
        <v>4394</v>
      </c>
      <c r="O11" s="231">
        <v>1.2</v>
      </c>
      <c r="P11" s="230">
        <v>782</v>
      </c>
      <c r="Q11" s="231">
        <v>0.3</v>
      </c>
      <c r="R11" s="230">
        <v>1514</v>
      </c>
      <c r="S11" s="231">
        <v>0.6</v>
      </c>
      <c r="T11" s="230">
        <v>1013</v>
      </c>
      <c r="U11" s="231">
        <v>0.3</v>
      </c>
      <c r="V11" s="230">
        <v>3971</v>
      </c>
      <c r="W11" s="231">
        <v>1.1000000000000001</v>
      </c>
      <c r="X11" s="230">
        <v>1648</v>
      </c>
      <c r="Y11" s="231">
        <v>0.7</v>
      </c>
    </row>
    <row r="12" spans="1:25" x14ac:dyDescent="0.2">
      <c r="A12" s="204" t="s">
        <v>378</v>
      </c>
      <c r="B12" s="230">
        <v>1822</v>
      </c>
      <c r="C12" s="231">
        <v>11.4</v>
      </c>
      <c r="D12" s="230">
        <v>10253</v>
      </c>
      <c r="E12" s="231">
        <v>11.4</v>
      </c>
      <c r="F12" s="230">
        <v>3915</v>
      </c>
      <c r="G12" s="231">
        <v>13.1</v>
      </c>
      <c r="H12" s="230">
        <v>45101</v>
      </c>
      <c r="I12" s="231">
        <v>12.5</v>
      </c>
      <c r="J12" s="230">
        <v>23868</v>
      </c>
      <c r="K12" s="231">
        <v>9.9</v>
      </c>
      <c r="L12" s="230">
        <v>50730</v>
      </c>
      <c r="M12" s="231">
        <v>14.1</v>
      </c>
      <c r="N12" s="230">
        <v>105086</v>
      </c>
      <c r="O12" s="231">
        <v>29.2</v>
      </c>
      <c r="P12" s="230">
        <v>70080</v>
      </c>
      <c r="Q12" s="231">
        <v>29.2</v>
      </c>
      <c r="R12" s="230">
        <v>42048</v>
      </c>
      <c r="S12" s="231">
        <v>17.5</v>
      </c>
      <c r="T12" s="230">
        <v>46675</v>
      </c>
      <c r="U12" s="231">
        <v>14.6</v>
      </c>
      <c r="V12" s="230">
        <v>101432</v>
      </c>
      <c r="W12" s="231">
        <v>28.2</v>
      </c>
      <c r="X12" s="230">
        <v>41342</v>
      </c>
      <c r="Y12" s="231">
        <v>17.2</v>
      </c>
    </row>
    <row r="13" spans="1:25" x14ac:dyDescent="0.2">
      <c r="A13" s="204" t="s">
        <v>379</v>
      </c>
      <c r="B13" s="230">
        <v>2803</v>
      </c>
      <c r="C13" s="231">
        <v>17.5</v>
      </c>
      <c r="D13" s="230">
        <v>15768</v>
      </c>
      <c r="E13" s="231">
        <v>17.5</v>
      </c>
      <c r="F13" s="230">
        <v>1566</v>
      </c>
      <c r="G13" s="231">
        <v>5.2</v>
      </c>
      <c r="H13" s="230">
        <v>67651</v>
      </c>
      <c r="I13" s="231">
        <v>18.8</v>
      </c>
      <c r="J13" s="230">
        <v>21216</v>
      </c>
      <c r="K13" s="231">
        <v>8.8000000000000007</v>
      </c>
      <c r="L13" s="230">
        <v>56376</v>
      </c>
      <c r="M13" s="231">
        <v>15.7</v>
      </c>
      <c r="N13" s="230">
        <v>168192</v>
      </c>
      <c r="O13" s="231">
        <v>46.7</v>
      </c>
      <c r="P13" s="230">
        <v>56064</v>
      </c>
      <c r="Q13" s="231">
        <v>23.4</v>
      </c>
      <c r="R13" s="230">
        <v>14016</v>
      </c>
      <c r="S13" s="231">
        <v>5.8</v>
      </c>
      <c r="T13" s="230">
        <v>8486</v>
      </c>
      <c r="U13" s="231">
        <v>2.7</v>
      </c>
      <c r="V13" s="230">
        <v>13522</v>
      </c>
      <c r="W13" s="231">
        <v>3.8</v>
      </c>
      <c r="X13" s="230">
        <v>6890</v>
      </c>
      <c r="Y13" s="231">
        <v>2.9</v>
      </c>
    </row>
    <row r="14" spans="1:25" x14ac:dyDescent="0.2">
      <c r="A14" s="204" t="s">
        <v>380</v>
      </c>
      <c r="B14" s="230">
        <v>0</v>
      </c>
      <c r="C14" s="231">
        <v>0</v>
      </c>
      <c r="D14" s="235">
        <v>0</v>
      </c>
      <c r="E14" s="231">
        <v>0</v>
      </c>
      <c r="F14" s="230">
        <v>0</v>
      </c>
      <c r="G14" s="231">
        <v>0</v>
      </c>
      <c r="H14" s="230">
        <v>0</v>
      </c>
      <c r="I14" s="231">
        <v>0</v>
      </c>
      <c r="J14" s="230">
        <v>0</v>
      </c>
      <c r="K14" s="231">
        <v>0</v>
      </c>
      <c r="L14" s="230">
        <v>0</v>
      </c>
      <c r="M14" s="231">
        <v>0</v>
      </c>
      <c r="N14" s="230">
        <v>0</v>
      </c>
      <c r="O14" s="231">
        <v>0</v>
      </c>
      <c r="P14" s="230">
        <v>0</v>
      </c>
      <c r="Q14" s="231">
        <v>0</v>
      </c>
      <c r="R14" s="230">
        <v>0</v>
      </c>
      <c r="S14" s="231">
        <v>0</v>
      </c>
      <c r="T14" s="230">
        <v>0</v>
      </c>
      <c r="U14" s="231">
        <v>0</v>
      </c>
      <c r="V14" s="230">
        <v>0</v>
      </c>
      <c r="W14" s="231">
        <v>0</v>
      </c>
      <c r="X14" s="230">
        <v>0</v>
      </c>
      <c r="Y14" s="231">
        <v>0</v>
      </c>
    </row>
    <row r="15" spans="1:25" x14ac:dyDescent="0.2">
      <c r="A15" s="204" t="s">
        <v>381</v>
      </c>
      <c r="B15" s="230">
        <v>0</v>
      </c>
      <c r="C15" s="231">
        <v>0</v>
      </c>
      <c r="D15" s="235">
        <v>0</v>
      </c>
      <c r="E15" s="231">
        <v>0</v>
      </c>
      <c r="F15" s="230">
        <v>0</v>
      </c>
      <c r="G15" s="231">
        <v>0</v>
      </c>
      <c r="H15" s="230">
        <v>27572</v>
      </c>
      <c r="I15" s="231">
        <v>7.7</v>
      </c>
      <c r="J15" s="230">
        <v>0</v>
      </c>
      <c r="K15" s="231">
        <v>0</v>
      </c>
      <c r="L15" s="230">
        <v>29499</v>
      </c>
      <c r="M15" s="231">
        <v>8.1999999999999993</v>
      </c>
      <c r="N15" s="230">
        <v>58676</v>
      </c>
      <c r="O15" s="231">
        <v>16.3</v>
      </c>
      <c r="P15" s="230">
        <v>0</v>
      </c>
      <c r="Q15" s="231">
        <v>0</v>
      </c>
      <c r="R15" s="230">
        <v>20727</v>
      </c>
      <c r="S15" s="231">
        <v>8.6</v>
      </c>
      <c r="T15" s="230">
        <v>0</v>
      </c>
      <c r="U15" s="231">
        <v>0</v>
      </c>
      <c r="V15" s="230">
        <v>51626</v>
      </c>
      <c r="W15" s="231">
        <v>14.3</v>
      </c>
      <c r="X15" s="230">
        <v>14557</v>
      </c>
      <c r="Y15" s="231">
        <v>6.1</v>
      </c>
    </row>
    <row r="16" spans="1:25" s="20" customFormat="1" x14ac:dyDescent="0.2">
      <c r="A16" s="227" t="s">
        <v>382</v>
      </c>
      <c r="B16" s="228">
        <v>13319</v>
      </c>
      <c r="C16" s="232">
        <v>83.2</v>
      </c>
      <c r="D16" s="236">
        <v>71255</v>
      </c>
      <c r="E16" s="237">
        <v>79.2</v>
      </c>
      <c r="F16" s="228">
        <v>21656</v>
      </c>
      <c r="G16" s="232">
        <v>72.2</v>
      </c>
      <c r="H16" s="228">
        <v>265023</v>
      </c>
      <c r="I16" s="232">
        <v>73.599999999999994</v>
      </c>
      <c r="J16" s="228">
        <v>137367</v>
      </c>
      <c r="K16" s="232">
        <v>57.2</v>
      </c>
      <c r="L16" s="228">
        <v>266794</v>
      </c>
      <c r="M16" s="232">
        <v>74.099999999999994</v>
      </c>
      <c r="N16" s="228">
        <v>596259</v>
      </c>
      <c r="O16" s="232">
        <v>165.6</v>
      </c>
      <c r="P16" s="228">
        <v>289536</v>
      </c>
      <c r="Q16" s="232">
        <v>120.6</v>
      </c>
      <c r="R16" s="228">
        <v>240253</v>
      </c>
      <c r="S16" s="232">
        <v>100.1</v>
      </c>
      <c r="T16" s="228">
        <v>306697</v>
      </c>
      <c r="U16" s="232">
        <v>95.8</v>
      </c>
      <c r="V16" s="228">
        <v>355864</v>
      </c>
      <c r="W16" s="232">
        <v>98.9</v>
      </c>
      <c r="X16" s="228">
        <v>166771</v>
      </c>
      <c r="Y16" s="232">
        <v>69.5</v>
      </c>
    </row>
    <row r="17" spans="1:25" s="20" customFormat="1" x14ac:dyDescent="0.2">
      <c r="A17" s="227"/>
      <c r="B17" s="228"/>
      <c r="C17" s="232"/>
      <c r="D17" s="236"/>
      <c r="E17" s="237"/>
      <c r="F17" s="230"/>
      <c r="G17" s="231"/>
      <c r="H17" s="230"/>
      <c r="I17" s="231"/>
      <c r="J17" s="230"/>
      <c r="K17" s="231"/>
      <c r="L17" s="228"/>
      <c r="M17" s="232"/>
      <c r="N17" s="228"/>
      <c r="O17" s="232"/>
      <c r="P17" s="230"/>
      <c r="Q17" s="231"/>
      <c r="R17" s="228"/>
      <c r="S17" s="232"/>
      <c r="T17" s="228"/>
      <c r="U17" s="232"/>
      <c r="V17" s="228"/>
      <c r="W17" s="232"/>
      <c r="X17" s="228"/>
      <c r="Y17" s="232"/>
    </row>
    <row r="18" spans="1:25" x14ac:dyDescent="0.2">
      <c r="A18" s="244" t="s">
        <v>383</v>
      </c>
      <c r="B18" s="233">
        <v>0.48</v>
      </c>
      <c r="C18" s="234">
        <v>0.4</v>
      </c>
      <c r="D18" s="233">
        <v>0.43</v>
      </c>
      <c r="E18" s="238">
        <v>0.36</v>
      </c>
      <c r="F18" s="233">
        <f>0.4+0.014*(1000-G4)/100</f>
        <v>0.498</v>
      </c>
      <c r="G18" s="238">
        <v>0.5</v>
      </c>
      <c r="H18" s="233">
        <v>0.4</v>
      </c>
      <c r="I18" s="238">
        <v>0.34</v>
      </c>
      <c r="J18" s="233">
        <v>0.4</v>
      </c>
      <c r="K18" s="238">
        <v>0.38</v>
      </c>
      <c r="L18" s="233">
        <v>0.4</v>
      </c>
      <c r="M18" s="238">
        <v>0.34</v>
      </c>
      <c r="N18" s="233">
        <v>0.4</v>
      </c>
      <c r="O18" s="238">
        <v>0.34</v>
      </c>
      <c r="P18" s="233">
        <v>0.4</v>
      </c>
      <c r="Q18" s="238">
        <v>0.38</v>
      </c>
      <c r="R18" s="233">
        <v>0.4</v>
      </c>
      <c r="S18" s="238">
        <v>0.35</v>
      </c>
      <c r="T18" s="233">
        <v>0.45</v>
      </c>
      <c r="U18" s="238">
        <v>0.51</v>
      </c>
      <c r="V18" s="233">
        <v>0.4</v>
      </c>
      <c r="W18" s="238">
        <v>0.34</v>
      </c>
      <c r="X18" s="233">
        <v>0.4</v>
      </c>
      <c r="Y18" s="238">
        <v>0.38</v>
      </c>
    </row>
    <row r="19" spans="1:25" x14ac:dyDescent="0.2">
      <c r="A19" s="205" t="s">
        <v>384</v>
      </c>
      <c r="B19" s="298">
        <v>0</v>
      </c>
      <c r="C19" s="231">
        <f>C14+C15</f>
        <v>0</v>
      </c>
      <c r="D19" s="298">
        <v>0</v>
      </c>
      <c r="E19" s="273">
        <f>E14+E15</f>
        <v>0</v>
      </c>
      <c r="F19" s="298">
        <f>0.75*(26.7-20)</f>
        <v>5.0249999999999995</v>
      </c>
      <c r="G19" s="273">
        <f>G14+G15</f>
        <v>0</v>
      </c>
      <c r="H19" s="298">
        <f>1.4*(26.7-20)</f>
        <v>9.379999999999999</v>
      </c>
      <c r="I19" s="273">
        <f>I14+I15</f>
        <v>7.7</v>
      </c>
      <c r="J19" s="298">
        <f>0.75*(26.7-20)</f>
        <v>5.0249999999999995</v>
      </c>
      <c r="K19" s="273">
        <f>K14+K15</f>
        <v>0</v>
      </c>
      <c r="L19" s="298">
        <f>1.5*(26.7-20)</f>
        <v>10.049999999999999</v>
      </c>
      <c r="M19" s="273">
        <f>M14+M15</f>
        <v>8.1999999999999993</v>
      </c>
      <c r="N19" s="298">
        <f>2.9*(26.7-20)</f>
        <v>19.429999999999996</v>
      </c>
      <c r="O19" s="273">
        <f>O14+O15</f>
        <v>16.3</v>
      </c>
      <c r="P19" s="298">
        <f>1.6*(26.7-20)</f>
        <v>10.719999999999999</v>
      </c>
      <c r="Q19" s="273">
        <f>Q14+Q15</f>
        <v>0</v>
      </c>
      <c r="R19" s="298">
        <f>1.5*(26.7-20)</f>
        <v>10.049999999999999</v>
      </c>
      <c r="S19" s="273">
        <f>S14+S15</f>
        <v>8.6</v>
      </c>
      <c r="T19" s="298">
        <f>0.9*(26.7-20)</f>
        <v>6.0299999999999994</v>
      </c>
      <c r="U19" s="273">
        <f>U14+U15</f>
        <v>0</v>
      </c>
      <c r="V19" s="298">
        <f>3.3*(26.7-20)</f>
        <v>22.109999999999996</v>
      </c>
      <c r="W19" s="273">
        <f>W14+W15</f>
        <v>14.3</v>
      </c>
      <c r="X19" s="298">
        <f>1.2*(26.7-20)</f>
        <v>8.0399999999999991</v>
      </c>
      <c r="Y19" s="273">
        <f>Y14+Y15</f>
        <v>6.1</v>
      </c>
    </row>
    <row r="20" spans="1:25" x14ac:dyDescent="0.2">
      <c r="A20" s="245" t="s">
        <v>385</v>
      </c>
      <c r="B20" s="300">
        <v>20</v>
      </c>
      <c r="C20" s="301">
        <f>C7+C8</f>
        <v>19.900000000000002</v>
      </c>
      <c r="D20" s="300">
        <v>15.1</v>
      </c>
      <c r="E20" s="299">
        <f>E7+E8</f>
        <v>14.9</v>
      </c>
      <c r="F20" s="300">
        <v>35.700000000000003</v>
      </c>
      <c r="G20" s="299">
        <f>G7+G8</f>
        <v>35.699999999999996</v>
      </c>
      <c r="H20" s="300">
        <v>20.100000000000001</v>
      </c>
      <c r="I20" s="299">
        <f>I7+I8</f>
        <v>19.8</v>
      </c>
      <c r="J20" s="300">
        <v>20.100000000000001</v>
      </c>
      <c r="K20" s="299">
        <f>K7+K8</f>
        <v>19.3</v>
      </c>
      <c r="L20" s="300">
        <v>20.100000000000001</v>
      </c>
      <c r="M20" s="299">
        <f>M7+M8</f>
        <v>20</v>
      </c>
      <c r="N20" s="300">
        <v>20.2</v>
      </c>
      <c r="O20" s="299">
        <f>O7+O8</f>
        <v>18.899999999999999</v>
      </c>
      <c r="P20" s="300">
        <v>20.2</v>
      </c>
      <c r="Q20" s="299">
        <f>Q7+Q8</f>
        <v>19.2</v>
      </c>
      <c r="R20" s="300">
        <v>25.1</v>
      </c>
      <c r="S20" s="299">
        <f>S7+S8</f>
        <v>25</v>
      </c>
      <c r="T20" s="300">
        <v>20.100000000000001</v>
      </c>
      <c r="U20" s="299">
        <f>U7+U8</f>
        <v>20.100000000000001</v>
      </c>
      <c r="V20" s="300">
        <v>25.2</v>
      </c>
      <c r="W20" s="299">
        <f>W7+W8</f>
        <v>22.6</v>
      </c>
      <c r="X20" s="300">
        <v>25.1</v>
      </c>
      <c r="Y20" s="299">
        <f>Y7+Y8</f>
        <v>24.7</v>
      </c>
    </row>
    <row r="21" spans="1:25" x14ac:dyDescent="0.2">
      <c r="B21" s="230"/>
      <c r="C21" s="231"/>
    </row>
    <row r="22" spans="1:25" x14ac:dyDescent="0.2">
      <c r="B22" s="230"/>
      <c r="C22" s="231"/>
    </row>
    <row r="23" spans="1:25" x14ac:dyDescent="0.2">
      <c r="B23" s="239" t="s">
        <v>400</v>
      </c>
      <c r="C23" s="155"/>
      <c r="E23" s="239" t="s">
        <v>399</v>
      </c>
    </row>
    <row r="24" spans="1:25" x14ac:dyDescent="0.2">
      <c r="A24" s="202" t="s">
        <v>386</v>
      </c>
      <c r="B24" s="239" t="s">
        <v>23</v>
      </c>
      <c r="C24" s="240" t="s">
        <v>11</v>
      </c>
      <c r="D24" s="240" t="s">
        <v>1</v>
      </c>
      <c r="E24" s="239" t="s">
        <v>23</v>
      </c>
      <c r="F24" s="240" t="s">
        <v>97</v>
      </c>
      <c r="G24" s="240" t="s">
        <v>98</v>
      </c>
      <c r="H24" s="240" t="s">
        <v>99</v>
      </c>
      <c r="I24" s="240" t="s">
        <v>100</v>
      </c>
      <c r="J24" s="240" t="s">
        <v>101</v>
      </c>
      <c r="K24" s="240" t="s">
        <v>102</v>
      </c>
      <c r="L24" s="240" t="s">
        <v>103</v>
      </c>
      <c r="M24" s="240" t="s">
        <v>104</v>
      </c>
      <c r="N24" s="240" t="s">
        <v>105</v>
      </c>
      <c r="O24" s="240" t="s">
        <v>106</v>
      </c>
    </row>
    <row r="25" spans="1:25" x14ac:dyDescent="0.2">
      <c r="A25" s="201"/>
      <c r="B25" s="201"/>
      <c r="C25" s="201"/>
    </row>
    <row r="26" spans="1:25" x14ac:dyDescent="0.2">
      <c r="A26" s="21" t="s">
        <v>12</v>
      </c>
      <c r="B26" s="221">
        <v>0.2</v>
      </c>
      <c r="C26" s="221">
        <v>0.2</v>
      </c>
      <c r="D26" s="221">
        <v>0.2</v>
      </c>
      <c r="E26" s="221">
        <v>0.2</v>
      </c>
      <c r="F26" s="221">
        <v>0.2</v>
      </c>
      <c r="G26" s="221">
        <v>0.2</v>
      </c>
      <c r="H26" s="221">
        <v>0.2</v>
      </c>
      <c r="I26" s="221">
        <v>0.2</v>
      </c>
      <c r="J26" s="221">
        <v>0.2</v>
      </c>
      <c r="K26" s="221">
        <v>0.2</v>
      </c>
      <c r="L26" s="221">
        <v>0.2</v>
      </c>
      <c r="M26" s="221">
        <v>0.2</v>
      </c>
      <c r="N26" s="221">
        <v>0.2</v>
      </c>
      <c r="O26" s="221">
        <v>0.2</v>
      </c>
    </row>
    <row r="27" spans="1:25" x14ac:dyDescent="0.2">
      <c r="A27" s="21" t="s">
        <v>252</v>
      </c>
      <c r="B27" s="246">
        <v>0.22</v>
      </c>
      <c r="C27" s="241">
        <v>0.1</v>
      </c>
      <c r="D27" s="241">
        <v>0.14000000000000001</v>
      </c>
      <c r="E27" s="246">
        <v>0.22</v>
      </c>
      <c r="F27" s="241">
        <v>0.14000000000000001</v>
      </c>
      <c r="G27" s="241">
        <v>0.16</v>
      </c>
      <c r="H27" s="241">
        <v>0.16</v>
      </c>
      <c r="I27" s="241">
        <v>0.16</v>
      </c>
      <c r="J27" s="241">
        <v>0.16</v>
      </c>
      <c r="K27" s="241">
        <v>0.16</v>
      </c>
      <c r="L27" s="241">
        <v>0.14000000000000001</v>
      </c>
      <c r="M27" s="241">
        <v>0.1</v>
      </c>
      <c r="N27" s="241">
        <v>0.16</v>
      </c>
      <c r="O27" s="241">
        <v>0.16</v>
      </c>
    </row>
    <row r="28" spans="1:25" x14ac:dyDescent="0.2">
      <c r="A28" s="21" t="s">
        <v>256</v>
      </c>
      <c r="B28" s="246">
        <v>0.18</v>
      </c>
      <c r="C28" s="241">
        <v>0.09</v>
      </c>
      <c r="D28" s="241">
        <v>0.09</v>
      </c>
      <c r="E28" s="246">
        <v>0.18</v>
      </c>
      <c r="F28" s="241">
        <v>0.09</v>
      </c>
      <c r="G28" s="241">
        <v>0.11</v>
      </c>
      <c r="H28" s="241">
        <v>0.11</v>
      </c>
      <c r="I28" s="241">
        <v>0.11</v>
      </c>
      <c r="J28" s="241">
        <v>0.11</v>
      </c>
      <c r="K28" s="241">
        <v>0.11</v>
      </c>
      <c r="L28" s="241">
        <v>0.09</v>
      </c>
      <c r="M28" s="241">
        <v>0.09</v>
      </c>
      <c r="N28" s="241">
        <v>0.11</v>
      </c>
      <c r="O28" s="241">
        <v>0.11</v>
      </c>
    </row>
    <row r="29" spans="1:25" x14ac:dyDescent="0.2">
      <c r="A29" s="21" t="s">
        <v>262</v>
      </c>
      <c r="B29" s="246">
        <v>0.18</v>
      </c>
      <c r="C29" s="241">
        <v>0.08</v>
      </c>
      <c r="D29" s="241">
        <v>0.1</v>
      </c>
      <c r="E29" s="246">
        <v>0.18</v>
      </c>
      <c r="F29" s="241">
        <v>0.1</v>
      </c>
      <c r="G29" s="241">
        <v>0.13</v>
      </c>
      <c r="H29" s="241">
        <v>0.13</v>
      </c>
      <c r="I29" s="241">
        <v>0.13</v>
      </c>
      <c r="J29" s="241">
        <v>0.13</v>
      </c>
      <c r="K29" s="241">
        <v>0.13</v>
      </c>
      <c r="L29" s="241">
        <v>0.1</v>
      </c>
      <c r="M29" s="241">
        <v>0.08</v>
      </c>
      <c r="N29" s="241">
        <v>0.13</v>
      </c>
      <c r="O29" s="241">
        <v>0.13</v>
      </c>
    </row>
    <row r="30" spans="1:25" x14ac:dyDescent="0.2">
      <c r="A30" s="21" t="s">
        <v>511</v>
      </c>
      <c r="B30" s="246">
        <v>0.8</v>
      </c>
      <c r="C30" s="241">
        <v>0.75</v>
      </c>
      <c r="D30" s="156">
        <v>0.8</v>
      </c>
      <c r="E30" s="246">
        <v>0.8</v>
      </c>
      <c r="F30" s="246">
        <v>0.8</v>
      </c>
      <c r="G30" s="246">
        <v>0.8</v>
      </c>
      <c r="H30" s="246">
        <v>0.8</v>
      </c>
      <c r="I30" s="246">
        <v>0.8</v>
      </c>
      <c r="J30" s="246">
        <v>0.8</v>
      </c>
      <c r="K30" s="246">
        <v>0.8</v>
      </c>
      <c r="L30" s="246">
        <v>0.8</v>
      </c>
      <c r="M30" s="246">
        <v>0.8</v>
      </c>
      <c r="N30" s="247">
        <v>0.8</v>
      </c>
      <c r="O30" s="246">
        <v>0.8</v>
      </c>
    </row>
    <row r="31" spans="1:25" x14ac:dyDescent="0.2">
      <c r="A31" s="21" t="s">
        <v>267</v>
      </c>
      <c r="B31" s="246">
        <v>0.03</v>
      </c>
      <c r="C31" s="156">
        <v>0.03</v>
      </c>
      <c r="D31" s="156">
        <v>0.03</v>
      </c>
      <c r="E31" s="156">
        <v>0.03</v>
      </c>
      <c r="F31" s="156">
        <v>0.03</v>
      </c>
      <c r="G31" s="246">
        <v>0.03</v>
      </c>
      <c r="H31" s="246">
        <v>0.03</v>
      </c>
      <c r="I31" s="246">
        <v>0.03</v>
      </c>
      <c r="J31" s="246">
        <v>0.03</v>
      </c>
      <c r="K31" s="246">
        <v>0.03</v>
      </c>
      <c r="L31" s="246">
        <v>0.03</v>
      </c>
      <c r="M31" s="246">
        <v>0.03</v>
      </c>
      <c r="N31" s="246">
        <v>0.03</v>
      </c>
      <c r="O31" s="246">
        <v>0.03</v>
      </c>
    </row>
    <row r="32" spans="1:25" x14ac:dyDescent="0.2">
      <c r="A32" s="21" t="s">
        <v>13</v>
      </c>
      <c r="B32" s="204">
        <v>0.6</v>
      </c>
      <c r="C32" s="168">
        <v>0.6</v>
      </c>
      <c r="D32" s="168">
        <v>0.6</v>
      </c>
      <c r="E32" s="168">
        <v>0.6</v>
      </c>
      <c r="F32" s="168">
        <v>0.6</v>
      </c>
      <c r="G32" s="168">
        <v>0.6</v>
      </c>
      <c r="H32" s="168">
        <v>0.6</v>
      </c>
      <c r="I32" s="168">
        <v>0.6</v>
      </c>
      <c r="J32" s="168">
        <v>0.6</v>
      </c>
      <c r="K32" s="168">
        <v>0.6</v>
      </c>
      <c r="L32" s="168">
        <v>0.6</v>
      </c>
      <c r="M32" s="168">
        <v>0.6</v>
      </c>
      <c r="N32" s="168">
        <v>0.6</v>
      </c>
      <c r="O32" s="168">
        <v>0.6</v>
      </c>
    </row>
    <row r="33" spans="1:15" x14ac:dyDescent="0.2">
      <c r="A33" s="21" t="s">
        <v>278</v>
      </c>
      <c r="B33" s="248" t="s">
        <v>409</v>
      </c>
      <c r="C33" s="169" t="s">
        <v>301</v>
      </c>
      <c r="D33" s="169" t="s">
        <v>302</v>
      </c>
      <c r="E33" s="248" t="s">
        <v>406</v>
      </c>
      <c r="F33" s="169" t="s">
        <v>387</v>
      </c>
      <c r="G33" s="169" t="s">
        <v>387</v>
      </c>
      <c r="H33" s="169" t="s">
        <v>388</v>
      </c>
      <c r="I33" s="169" t="s">
        <v>389</v>
      </c>
      <c r="J33" s="169" t="s">
        <v>401</v>
      </c>
      <c r="K33" s="169" t="s">
        <v>402</v>
      </c>
      <c r="L33" s="169" t="s">
        <v>403</v>
      </c>
      <c r="M33" s="169" t="s">
        <v>387</v>
      </c>
      <c r="N33" s="169" t="s">
        <v>404</v>
      </c>
      <c r="O33" s="169" t="s">
        <v>405</v>
      </c>
    </row>
    <row r="34" spans="1:15" x14ac:dyDescent="0.2">
      <c r="A34" s="21" t="s">
        <v>14</v>
      </c>
      <c r="B34" s="249">
        <v>0.8</v>
      </c>
      <c r="C34" s="221">
        <v>0.85</v>
      </c>
      <c r="D34" s="221">
        <v>0.85</v>
      </c>
      <c r="E34" s="249">
        <v>0.8</v>
      </c>
      <c r="F34" s="221">
        <v>0.82</v>
      </c>
      <c r="G34" s="221">
        <v>0.82</v>
      </c>
      <c r="H34" s="249">
        <v>0.8</v>
      </c>
      <c r="I34" s="221">
        <v>0.82</v>
      </c>
      <c r="J34" s="221">
        <v>0.83</v>
      </c>
      <c r="K34" s="221">
        <v>0.83</v>
      </c>
      <c r="L34" s="221">
        <v>0.83</v>
      </c>
      <c r="M34" s="221">
        <v>0.85</v>
      </c>
      <c r="N34" s="302">
        <v>0.8</v>
      </c>
      <c r="O34" s="221">
        <v>0.83</v>
      </c>
    </row>
    <row r="35" spans="1:15" x14ac:dyDescent="0.2">
      <c r="A35" s="21" t="s">
        <v>510</v>
      </c>
      <c r="B35" s="220" t="s">
        <v>16</v>
      </c>
      <c r="C35" s="220" t="s">
        <v>16</v>
      </c>
      <c r="D35" s="220" t="s">
        <v>16</v>
      </c>
      <c r="E35" s="220" t="s">
        <v>16</v>
      </c>
      <c r="F35" s="220" t="s">
        <v>16</v>
      </c>
      <c r="G35" s="220" t="s">
        <v>16</v>
      </c>
      <c r="H35" s="220" t="s">
        <v>16</v>
      </c>
      <c r="I35" s="220" t="s">
        <v>16</v>
      </c>
      <c r="J35" s="220" t="s">
        <v>16</v>
      </c>
      <c r="K35" s="220" t="s">
        <v>16</v>
      </c>
      <c r="L35" s="220" t="s">
        <v>16</v>
      </c>
      <c r="M35" s="220" t="s">
        <v>16</v>
      </c>
      <c r="N35" s="220" t="s">
        <v>16</v>
      </c>
      <c r="O35" s="220" t="s">
        <v>16</v>
      </c>
    </row>
    <row r="36" spans="1:15" x14ac:dyDescent="0.2">
      <c r="A36" s="21" t="s">
        <v>283</v>
      </c>
      <c r="B36" s="204">
        <v>1.5</v>
      </c>
      <c r="C36" s="168">
        <v>1.5</v>
      </c>
      <c r="D36" s="168">
        <v>1.5</v>
      </c>
      <c r="E36" s="168">
        <v>1.5</v>
      </c>
      <c r="F36" s="168">
        <v>1.5</v>
      </c>
      <c r="G36" s="168">
        <v>1.5</v>
      </c>
      <c r="H36" s="168">
        <v>1.5</v>
      </c>
      <c r="I36" s="168">
        <v>1.5</v>
      </c>
      <c r="J36" s="168">
        <v>1.5</v>
      </c>
      <c r="K36" s="168">
        <v>1.5</v>
      </c>
      <c r="L36" s="168">
        <v>1.5</v>
      </c>
      <c r="M36" s="168">
        <v>1.5</v>
      </c>
      <c r="N36" s="168">
        <v>1.5</v>
      </c>
      <c r="O36" s="168">
        <v>1.5</v>
      </c>
    </row>
    <row r="37" spans="1:15" x14ac:dyDescent="0.2">
      <c r="A37" s="21" t="s">
        <v>284</v>
      </c>
      <c r="B37" s="217" t="s">
        <v>285</v>
      </c>
      <c r="C37" s="217" t="s">
        <v>285</v>
      </c>
      <c r="D37" s="217" t="s">
        <v>285</v>
      </c>
      <c r="E37" s="217" t="s">
        <v>285</v>
      </c>
      <c r="F37" s="217" t="s">
        <v>285</v>
      </c>
      <c r="G37" s="217" t="s">
        <v>285</v>
      </c>
      <c r="H37" s="217" t="s">
        <v>285</v>
      </c>
      <c r="I37" s="217" t="s">
        <v>285</v>
      </c>
      <c r="J37" s="217" t="s">
        <v>285</v>
      </c>
      <c r="K37" s="217" t="s">
        <v>285</v>
      </c>
      <c r="L37" s="217" t="s">
        <v>285</v>
      </c>
      <c r="M37" s="217" t="s">
        <v>285</v>
      </c>
      <c r="N37" s="217" t="s">
        <v>285</v>
      </c>
      <c r="O37" s="217" t="s">
        <v>285</v>
      </c>
    </row>
    <row r="38" spans="1:15" x14ac:dyDescent="0.2">
      <c r="A38" s="21" t="s">
        <v>18</v>
      </c>
      <c r="B38" s="217" t="s">
        <v>285</v>
      </c>
      <c r="C38" s="217" t="s">
        <v>285</v>
      </c>
      <c r="D38" s="217" t="s">
        <v>285</v>
      </c>
      <c r="E38" s="217" t="s">
        <v>285</v>
      </c>
      <c r="F38" s="217" t="s">
        <v>285</v>
      </c>
      <c r="G38" s="217" t="s">
        <v>285</v>
      </c>
      <c r="H38" s="217" t="s">
        <v>285</v>
      </c>
      <c r="I38" s="217" t="s">
        <v>285</v>
      </c>
      <c r="J38" s="217" t="s">
        <v>285</v>
      </c>
      <c r="K38" s="217" t="s">
        <v>285</v>
      </c>
      <c r="L38" s="217" t="s">
        <v>285</v>
      </c>
      <c r="M38" s="217" t="s">
        <v>285</v>
      </c>
      <c r="N38" s="217" t="s">
        <v>285</v>
      </c>
      <c r="O38" s="217" t="s">
        <v>285</v>
      </c>
    </row>
    <row r="39" spans="1:15" x14ac:dyDescent="0.2">
      <c r="A39" s="21" t="s">
        <v>287</v>
      </c>
      <c r="B39" s="250" t="s">
        <v>16</v>
      </c>
      <c r="C39" s="251">
        <v>0</v>
      </c>
      <c r="D39" s="251">
        <v>0</v>
      </c>
      <c r="E39" s="248" t="s">
        <v>390</v>
      </c>
      <c r="F39" s="204">
        <v>0</v>
      </c>
      <c r="G39" s="204">
        <v>15</v>
      </c>
      <c r="H39" s="204">
        <v>0</v>
      </c>
      <c r="I39" s="204">
        <v>15</v>
      </c>
      <c r="J39" s="204">
        <v>20</v>
      </c>
      <c r="K39" s="148">
        <v>0</v>
      </c>
      <c r="L39" s="204">
        <v>10</v>
      </c>
      <c r="M39" s="148">
        <v>0</v>
      </c>
      <c r="N39" s="252">
        <v>20</v>
      </c>
      <c r="O39" s="253">
        <v>10</v>
      </c>
    </row>
    <row r="40" spans="1:15" x14ac:dyDescent="0.2">
      <c r="A40" s="21" t="s">
        <v>289</v>
      </c>
      <c r="B40" s="248" t="s">
        <v>409</v>
      </c>
      <c r="C40" s="219">
        <v>1.95</v>
      </c>
      <c r="D40" s="219">
        <v>1.95</v>
      </c>
      <c r="E40" s="248" t="s">
        <v>407</v>
      </c>
      <c r="F40" s="219">
        <v>5</v>
      </c>
      <c r="G40" s="219">
        <v>4</v>
      </c>
      <c r="H40" s="219">
        <v>4.5</v>
      </c>
      <c r="I40" s="168">
        <v>4.5</v>
      </c>
      <c r="J40" s="168">
        <v>5</v>
      </c>
      <c r="K40" s="168">
        <v>5</v>
      </c>
      <c r="L40" s="168">
        <v>3</v>
      </c>
      <c r="M40" s="168">
        <v>5.5</v>
      </c>
      <c r="N40" s="219">
        <v>7.5</v>
      </c>
      <c r="O40" s="219">
        <v>6</v>
      </c>
    </row>
    <row r="41" spans="1:15" x14ac:dyDescent="0.2">
      <c r="A41" s="21" t="s">
        <v>293</v>
      </c>
      <c r="B41" s="248" t="s">
        <v>409</v>
      </c>
      <c r="C41" s="219">
        <v>3</v>
      </c>
      <c r="D41" s="219">
        <v>3</v>
      </c>
      <c r="E41" s="248" t="s">
        <v>408</v>
      </c>
      <c r="F41" s="219">
        <v>2</v>
      </c>
      <c r="G41" s="219">
        <v>6</v>
      </c>
      <c r="H41" s="168">
        <v>4</v>
      </c>
      <c r="I41" s="219">
        <v>5</v>
      </c>
      <c r="J41" s="219">
        <v>8</v>
      </c>
      <c r="K41" s="219">
        <v>4</v>
      </c>
      <c r="L41" s="219">
        <v>1</v>
      </c>
      <c r="M41" s="219">
        <v>1</v>
      </c>
      <c r="N41" s="219">
        <v>1</v>
      </c>
      <c r="O41" s="219">
        <v>1</v>
      </c>
    </row>
    <row r="42" spans="1:15" x14ac:dyDescent="0.2">
      <c r="A42" s="21" t="s">
        <v>295</v>
      </c>
      <c r="B42" s="248" t="s">
        <v>409</v>
      </c>
      <c r="C42" s="219">
        <v>5.0999999999999996</v>
      </c>
      <c r="D42" s="219">
        <v>5.0999999999999996</v>
      </c>
      <c r="E42" s="248" t="s">
        <v>410</v>
      </c>
      <c r="F42" s="148">
        <v>3.8</v>
      </c>
      <c r="G42" s="147">
        <v>1.6</v>
      </c>
      <c r="H42" s="147">
        <v>4.5</v>
      </c>
      <c r="I42" s="147">
        <v>1.6</v>
      </c>
      <c r="J42" s="147">
        <v>5.0999999999999996</v>
      </c>
      <c r="K42" s="147">
        <v>5.0999999999999996</v>
      </c>
      <c r="L42" s="147">
        <v>5.0999999999999996</v>
      </c>
      <c r="M42" s="147">
        <v>18.899999999999999</v>
      </c>
      <c r="N42" s="147">
        <v>2.7</v>
      </c>
      <c r="O42" s="147">
        <v>3.5</v>
      </c>
    </row>
    <row r="43" spans="1:15" x14ac:dyDescent="0.2">
      <c r="A43" s="21" t="s">
        <v>296</v>
      </c>
      <c r="B43" s="248" t="s">
        <v>409</v>
      </c>
      <c r="C43" s="219">
        <v>1.5</v>
      </c>
      <c r="D43" s="219">
        <v>1.5</v>
      </c>
      <c r="E43" s="248" t="s">
        <v>408</v>
      </c>
      <c r="F43" s="168">
        <v>6</v>
      </c>
      <c r="G43" s="219">
        <v>4</v>
      </c>
      <c r="H43" s="168">
        <v>12</v>
      </c>
      <c r="I43" s="168">
        <v>6</v>
      </c>
      <c r="J43" s="168">
        <v>2</v>
      </c>
      <c r="K43" s="168">
        <v>3</v>
      </c>
      <c r="L43" s="168">
        <v>2</v>
      </c>
      <c r="M43" s="168">
        <v>10</v>
      </c>
      <c r="N43" s="219">
        <v>10</v>
      </c>
      <c r="O43" s="219">
        <v>3.2</v>
      </c>
    </row>
    <row r="44" spans="1:15" x14ac:dyDescent="0.2">
      <c r="A44" s="21" t="s">
        <v>19</v>
      </c>
      <c r="B44" s="147">
        <v>0.5</v>
      </c>
      <c r="C44" s="147">
        <v>0.5</v>
      </c>
      <c r="D44" s="147">
        <v>0.5</v>
      </c>
      <c r="E44" s="147">
        <v>0.45</v>
      </c>
      <c r="F44" s="147">
        <v>0.45</v>
      </c>
      <c r="G44" s="147">
        <v>0.45</v>
      </c>
      <c r="H44" s="147">
        <v>0.45</v>
      </c>
      <c r="I44" s="147">
        <v>0.45</v>
      </c>
      <c r="J44" s="147">
        <v>0.45</v>
      </c>
      <c r="K44" s="147">
        <v>0.45</v>
      </c>
      <c r="L44" s="147">
        <v>0.45</v>
      </c>
      <c r="M44" s="147">
        <v>0.45</v>
      </c>
      <c r="N44" s="147">
        <v>0.45</v>
      </c>
      <c r="O44" s="147">
        <v>0.45</v>
      </c>
    </row>
    <row r="45" spans="1:15" x14ac:dyDescent="0.2">
      <c r="A45" s="21" t="s">
        <v>20</v>
      </c>
      <c r="B45" s="147" t="s">
        <v>15</v>
      </c>
      <c r="C45" s="242" t="s">
        <v>15</v>
      </c>
      <c r="D45" s="242" t="s">
        <v>15</v>
      </c>
      <c r="E45" s="242" t="s">
        <v>15</v>
      </c>
      <c r="F45" s="242" t="s">
        <v>15</v>
      </c>
      <c r="G45" s="242" t="s">
        <v>15</v>
      </c>
      <c r="H45" s="242" t="s">
        <v>15</v>
      </c>
      <c r="I45" s="242" t="s">
        <v>15</v>
      </c>
      <c r="J45" s="242" t="s">
        <v>15</v>
      </c>
      <c r="K45" s="242" t="s">
        <v>15</v>
      </c>
      <c r="L45" s="242" t="s">
        <v>15</v>
      </c>
      <c r="M45" s="242" t="s">
        <v>15</v>
      </c>
      <c r="N45" s="242" t="s">
        <v>15</v>
      </c>
      <c r="O45" s="242" t="s">
        <v>15</v>
      </c>
    </row>
    <row r="46" spans="1:15" x14ac:dyDescent="0.2">
      <c r="A46" s="21" t="s">
        <v>21</v>
      </c>
      <c r="B46" s="147" t="s">
        <v>15</v>
      </c>
      <c r="C46" s="242" t="s">
        <v>15</v>
      </c>
      <c r="D46" s="242" t="s">
        <v>15</v>
      </c>
      <c r="E46" s="242" t="s">
        <v>15</v>
      </c>
      <c r="F46" s="242" t="s">
        <v>15</v>
      </c>
      <c r="G46" s="242" t="s">
        <v>15</v>
      </c>
      <c r="H46" s="242" t="s">
        <v>15</v>
      </c>
      <c r="I46" s="242" t="s">
        <v>15</v>
      </c>
      <c r="J46" s="242" t="s">
        <v>15</v>
      </c>
      <c r="K46" s="242" t="s">
        <v>15</v>
      </c>
      <c r="L46" s="242" t="s">
        <v>15</v>
      </c>
      <c r="M46" s="242" t="s">
        <v>15</v>
      </c>
      <c r="N46" s="242" t="s">
        <v>15</v>
      </c>
      <c r="O46" s="242" t="s">
        <v>15</v>
      </c>
    </row>
    <row r="47" spans="1:15" x14ac:dyDescent="0.2">
      <c r="A47" s="21" t="s">
        <v>391</v>
      </c>
      <c r="B47" s="147" t="s">
        <v>285</v>
      </c>
      <c r="C47" s="147" t="s">
        <v>285</v>
      </c>
      <c r="D47" s="147" t="s">
        <v>285</v>
      </c>
      <c r="E47" s="147" t="s">
        <v>285</v>
      </c>
      <c r="F47" s="147" t="s">
        <v>285</v>
      </c>
      <c r="G47" s="147" t="s">
        <v>285</v>
      </c>
      <c r="H47" s="147" t="s">
        <v>285</v>
      </c>
      <c r="I47" s="147" t="s">
        <v>285</v>
      </c>
      <c r="J47" s="147" t="s">
        <v>285</v>
      </c>
      <c r="K47" s="147" t="s">
        <v>285</v>
      </c>
      <c r="L47" s="147" t="s">
        <v>285</v>
      </c>
      <c r="M47" s="147" t="s">
        <v>285</v>
      </c>
      <c r="N47" s="147" t="s">
        <v>285</v>
      </c>
      <c r="O47" s="147" t="s">
        <v>285</v>
      </c>
    </row>
    <row r="50" spans="1:1" x14ac:dyDescent="0.2">
      <c r="A50" s="202" t="s">
        <v>498</v>
      </c>
    </row>
    <row r="51" spans="1:1" x14ac:dyDescent="0.2">
      <c r="A51" s="144" t="s">
        <v>499</v>
      </c>
    </row>
    <row r="52" spans="1:1" x14ac:dyDescent="0.2">
      <c r="A52" s="144" t="s">
        <v>500</v>
      </c>
    </row>
    <row r="53" spans="1:1" x14ac:dyDescent="0.2">
      <c r="A53" s="144" t="s">
        <v>501</v>
      </c>
    </row>
    <row r="54" spans="1:1" x14ac:dyDescent="0.2">
      <c r="A54" s="144" t="s">
        <v>502</v>
      </c>
    </row>
    <row r="55" spans="1:1" x14ac:dyDescent="0.2">
      <c r="A55" s="144" t="s">
        <v>503</v>
      </c>
    </row>
    <row r="56" spans="1:1" x14ac:dyDescent="0.2">
      <c r="A56" s="144" t="s">
        <v>504</v>
      </c>
    </row>
    <row r="57" spans="1:1" x14ac:dyDescent="0.2">
      <c r="A57" s="144" t="s">
        <v>505</v>
      </c>
    </row>
  </sheetData>
  <conditionalFormatting sqref="C18">
    <cfRule type="cellIs" dxfId="183" priority="1629" stopIfTrue="1" operator="lessThan">
      <formula>B18</formula>
    </cfRule>
    <cfRule type="cellIs" dxfId="182" priority="1630" stopIfTrue="1" operator="greaterThan">
      <formula>B18</formula>
    </cfRule>
  </conditionalFormatting>
  <conditionalFormatting sqref="C19">
    <cfRule type="cellIs" dxfId="181" priority="1627" stopIfTrue="1" operator="lessThan">
      <formula>B19</formula>
    </cfRule>
    <cfRule type="cellIs" dxfId="180" priority="1628" stopIfTrue="1" operator="greaterThan">
      <formula>B19</formula>
    </cfRule>
  </conditionalFormatting>
  <conditionalFormatting sqref="C20">
    <cfRule type="cellIs" dxfId="179" priority="1625" stopIfTrue="1" operator="lessThan">
      <formula>B20</formula>
    </cfRule>
    <cfRule type="cellIs" dxfId="178" priority="1626" stopIfTrue="1" operator="greaterThan">
      <formula>B20</formula>
    </cfRule>
  </conditionalFormatting>
  <conditionalFormatting sqref="E18:E20">
    <cfRule type="cellIs" dxfId="177" priority="1623" stopIfTrue="1" operator="lessThan">
      <formula>D18</formula>
    </cfRule>
    <cfRule type="cellIs" dxfId="176" priority="1624" stopIfTrue="1" operator="greaterThan">
      <formula>D18</formula>
    </cfRule>
  </conditionalFormatting>
  <conditionalFormatting sqref="E19">
    <cfRule type="cellIs" dxfId="175" priority="1621" stopIfTrue="1" operator="lessThan">
      <formula>D19</formula>
    </cfRule>
    <cfRule type="cellIs" dxfId="174" priority="1622" stopIfTrue="1" operator="greaterThan">
      <formula>D19</formula>
    </cfRule>
  </conditionalFormatting>
  <conditionalFormatting sqref="E20">
    <cfRule type="cellIs" dxfId="173" priority="1619" stopIfTrue="1" operator="lessThan">
      <formula>D20</formula>
    </cfRule>
    <cfRule type="cellIs" dxfId="172" priority="1620" stopIfTrue="1" operator="greaterThan">
      <formula>D20</formula>
    </cfRule>
  </conditionalFormatting>
  <conditionalFormatting sqref="E19">
    <cfRule type="cellIs" dxfId="171" priority="1617" stopIfTrue="1" operator="lessThan">
      <formula>D19</formula>
    </cfRule>
    <cfRule type="cellIs" dxfId="170" priority="1618" stopIfTrue="1" operator="greaterThan">
      <formula>D19</formula>
    </cfRule>
  </conditionalFormatting>
  <conditionalFormatting sqref="C18:C20">
    <cfRule type="cellIs" dxfId="169" priority="1615" stopIfTrue="1" operator="lessThan">
      <formula>B18</formula>
    </cfRule>
    <cfRule type="cellIs" dxfId="168" priority="1616" stopIfTrue="1" operator="greaterThan">
      <formula>B18</formula>
    </cfRule>
  </conditionalFormatting>
  <conditionalFormatting sqref="E18">
    <cfRule type="cellIs" dxfId="167" priority="1613" stopIfTrue="1" operator="lessThan">
      <formula>D18</formula>
    </cfRule>
    <cfRule type="cellIs" dxfId="166" priority="1614" stopIfTrue="1" operator="greaterThan">
      <formula>D18</formula>
    </cfRule>
  </conditionalFormatting>
  <conditionalFormatting sqref="E19">
    <cfRule type="cellIs" dxfId="165" priority="1611" stopIfTrue="1" operator="lessThan">
      <formula>D19</formula>
    </cfRule>
    <cfRule type="cellIs" dxfId="164" priority="1612" stopIfTrue="1" operator="greaterThan">
      <formula>D19</formula>
    </cfRule>
  </conditionalFormatting>
  <conditionalFormatting sqref="E20">
    <cfRule type="cellIs" dxfId="163" priority="1609" stopIfTrue="1" operator="lessThan">
      <formula>D20</formula>
    </cfRule>
    <cfRule type="cellIs" dxfId="162" priority="1610" stopIfTrue="1" operator="greaterThan">
      <formula>D20</formula>
    </cfRule>
  </conditionalFormatting>
  <conditionalFormatting sqref="E18:E20">
    <cfRule type="cellIs" dxfId="161" priority="1607" stopIfTrue="1" operator="lessThan">
      <formula>D18</formula>
    </cfRule>
    <cfRule type="cellIs" dxfId="160" priority="1608" stopIfTrue="1" operator="greaterThan">
      <formula>D18</formula>
    </cfRule>
  </conditionalFormatting>
  <conditionalFormatting sqref="G18">
    <cfRule type="cellIs" dxfId="159" priority="1605" stopIfTrue="1" operator="lessThan">
      <formula>F18</formula>
    </cfRule>
    <cfRule type="cellIs" dxfId="158" priority="1606" stopIfTrue="1" operator="greaterThan">
      <formula>F18</formula>
    </cfRule>
  </conditionalFormatting>
  <conditionalFormatting sqref="G19">
    <cfRule type="cellIs" dxfId="157" priority="1603" stopIfTrue="1" operator="lessThan">
      <formula>F19</formula>
    </cfRule>
    <cfRule type="cellIs" dxfId="156" priority="1604" stopIfTrue="1" operator="greaterThan">
      <formula>F19</formula>
    </cfRule>
  </conditionalFormatting>
  <conditionalFormatting sqref="G20">
    <cfRule type="cellIs" dxfId="155" priority="1601" stopIfTrue="1" operator="lessThan">
      <formula>F20</formula>
    </cfRule>
    <cfRule type="cellIs" dxfId="154" priority="1602" stopIfTrue="1" operator="greaterThan">
      <formula>F20</formula>
    </cfRule>
  </conditionalFormatting>
  <conditionalFormatting sqref="G18:G20">
    <cfRule type="cellIs" dxfId="153" priority="1599" stopIfTrue="1" operator="lessThan">
      <formula>F18</formula>
    </cfRule>
    <cfRule type="cellIs" dxfId="152" priority="1600" stopIfTrue="1" operator="greaterThan">
      <formula>F18</formula>
    </cfRule>
  </conditionalFormatting>
  <conditionalFormatting sqref="I18">
    <cfRule type="cellIs" dxfId="151" priority="1597" stopIfTrue="1" operator="lessThan">
      <formula>H18</formula>
    </cfRule>
    <cfRule type="cellIs" dxfId="150" priority="1598" stopIfTrue="1" operator="greaterThan">
      <formula>H18</formula>
    </cfRule>
  </conditionalFormatting>
  <conditionalFormatting sqref="I19">
    <cfRule type="cellIs" dxfId="149" priority="1595" stopIfTrue="1" operator="lessThan">
      <formula>H19</formula>
    </cfRule>
    <cfRule type="cellIs" dxfId="148" priority="1596" stopIfTrue="1" operator="greaterThan">
      <formula>H19</formula>
    </cfRule>
  </conditionalFormatting>
  <conditionalFormatting sqref="I20">
    <cfRule type="cellIs" dxfId="147" priority="1593" stopIfTrue="1" operator="lessThan">
      <formula>H20</formula>
    </cfRule>
    <cfRule type="cellIs" dxfId="146" priority="1594" stopIfTrue="1" operator="greaterThan">
      <formula>H20</formula>
    </cfRule>
  </conditionalFormatting>
  <conditionalFormatting sqref="I18:I20">
    <cfRule type="cellIs" dxfId="145" priority="1591" stopIfTrue="1" operator="lessThan">
      <formula>H18</formula>
    </cfRule>
    <cfRule type="cellIs" dxfId="144" priority="1592" stopIfTrue="1" operator="greaterThan">
      <formula>H18</formula>
    </cfRule>
  </conditionalFormatting>
  <conditionalFormatting sqref="K18">
    <cfRule type="cellIs" dxfId="143" priority="1589" stopIfTrue="1" operator="lessThan">
      <formula>J18</formula>
    </cfRule>
    <cfRule type="cellIs" dxfId="142" priority="1590" stopIfTrue="1" operator="greaterThan">
      <formula>J18</formula>
    </cfRule>
  </conditionalFormatting>
  <conditionalFormatting sqref="K19">
    <cfRule type="cellIs" dxfId="141" priority="1587" stopIfTrue="1" operator="lessThan">
      <formula>J19</formula>
    </cfRule>
    <cfRule type="cellIs" dxfId="140" priority="1588" stopIfTrue="1" operator="greaterThan">
      <formula>J19</formula>
    </cfRule>
  </conditionalFormatting>
  <conditionalFormatting sqref="K20">
    <cfRule type="cellIs" dxfId="139" priority="1585" stopIfTrue="1" operator="lessThan">
      <formula>J20</formula>
    </cfRule>
    <cfRule type="cellIs" dxfId="138" priority="1586" stopIfTrue="1" operator="greaterThan">
      <formula>J20</formula>
    </cfRule>
  </conditionalFormatting>
  <conditionalFormatting sqref="K18:K20">
    <cfRule type="cellIs" dxfId="137" priority="1583" stopIfTrue="1" operator="lessThan">
      <formula>J18</formula>
    </cfRule>
    <cfRule type="cellIs" dxfId="136" priority="1584" stopIfTrue="1" operator="greaterThan">
      <formula>J18</formula>
    </cfRule>
  </conditionalFormatting>
  <conditionalFormatting sqref="M18">
    <cfRule type="cellIs" dxfId="135" priority="1581" stopIfTrue="1" operator="lessThan">
      <formula>L18</formula>
    </cfRule>
    <cfRule type="cellIs" dxfId="134" priority="1582" stopIfTrue="1" operator="greaterThan">
      <formula>L18</formula>
    </cfRule>
  </conditionalFormatting>
  <conditionalFormatting sqref="M19">
    <cfRule type="cellIs" dxfId="133" priority="1579" stopIfTrue="1" operator="lessThan">
      <formula>L19</formula>
    </cfRule>
    <cfRule type="cellIs" dxfId="132" priority="1580" stopIfTrue="1" operator="greaterThan">
      <formula>L19</formula>
    </cfRule>
  </conditionalFormatting>
  <conditionalFormatting sqref="M20">
    <cfRule type="cellIs" dxfId="131" priority="1577" stopIfTrue="1" operator="lessThan">
      <formula>L20</formula>
    </cfRule>
    <cfRule type="cellIs" dxfId="130" priority="1578" stopIfTrue="1" operator="greaterThan">
      <formula>L20</formula>
    </cfRule>
  </conditionalFormatting>
  <conditionalFormatting sqref="M18:M20">
    <cfRule type="cellIs" dxfId="129" priority="1575" stopIfTrue="1" operator="lessThan">
      <formula>L18</formula>
    </cfRule>
    <cfRule type="cellIs" dxfId="128" priority="1576" stopIfTrue="1" operator="greaterThan">
      <formula>L18</formula>
    </cfRule>
  </conditionalFormatting>
  <conditionalFormatting sqref="O18">
    <cfRule type="cellIs" dxfId="127" priority="1573" stopIfTrue="1" operator="lessThan">
      <formula>N18</formula>
    </cfRule>
    <cfRule type="cellIs" dxfId="126" priority="1574" stopIfTrue="1" operator="greaterThan">
      <formula>N18</formula>
    </cfRule>
  </conditionalFormatting>
  <conditionalFormatting sqref="O19">
    <cfRule type="cellIs" dxfId="125" priority="1571" stopIfTrue="1" operator="lessThan">
      <formula>N19</formula>
    </cfRule>
    <cfRule type="cellIs" dxfId="124" priority="1572" stopIfTrue="1" operator="greaterThan">
      <formula>N19</formula>
    </cfRule>
  </conditionalFormatting>
  <conditionalFormatting sqref="O20">
    <cfRule type="cellIs" dxfId="123" priority="1569" stopIfTrue="1" operator="lessThan">
      <formula>N20</formula>
    </cfRule>
    <cfRule type="cellIs" dxfId="122" priority="1570" stopIfTrue="1" operator="greaterThan">
      <formula>N20</formula>
    </cfRule>
  </conditionalFormatting>
  <conditionalFormatting sqref="O18:O20">
    <cfRule type="cellIs" dxfId="121" priority="1567" stopIfTrue="1" operator="lessThan">
      <formula>N18</formula>
    </cfRule>
    <cfRule type="cellIs" dxfId="120" priority="1568" stopIfTrue="1" operator="greaterThan">
      <formula>N18</formula>
    </cfRule>
  </conditionalFormatting>
  <conditionalFormatting sqref="Q18">
    <cfRule type="cellIs" dxfId="119" priority="1565" stopIfTrue="1" operator="lessThan">
      <formula>P18</formula>
    </cfRule>
    <cfRule type="cellIs" dxfId="118" priority="1566" stopIfTrue="1" operator="greaterThan">
      <formula>P18</formula>
    </cfRule>
  </conditionalFormatting>
  <conditionalFormatting sqref="Q19">
    <cfRule type="cellIs" dxfId="117" priority="1563" stopIfTrue="1" operator="lessThan">
      <formula>P19</formula>
    </cfRule>
    <cfRule type="cellIs" dxfId="116" priority="1564" stopIfTrue="1" operator="greaterThan">
      <formula>P19</formula>
    </cfRule>
  </conditionalFormatting>
  <conditionalFormatting sqref="Q20">
    <cfRule type="cellIs" dxfId="115" priority="1561" stopIfTrue="1" operator="lessThan">
      <formula>P20</formula>
    </cfRule>
    <cfRule type="cellIs" dxfId="114" priority="1562" stopIfTrue="1" operator="greaterThan">
      <formula>P20</formula>
    </cfRule>
  </conditionalFormatting>
  <conditionalFormatting sqref="Q18:Q20">
    <cfRule type="cellIs" dxfId="113" priority="1559" stopIfTrue="1" operator="lessThan">
      <formula>P18</formula>
    </cfRule>
    <cfRule type="cellIs" dxfId="112" priority="1560" stopIfTrue="1" operator="greaterThan">
      <formula>P18</formula>
    </cfRule>
  </conditionalFormatting>
  <conditionalFormatting sqref="S18">
    <cfRule type="cellIs" dxfId="111" priority="1557" stopIfTrue="1" operator="lessThan">
      <formula>R18</formula>
    </cfRule>
    <cfRule type="cellIs" dxfId="110" priority="1558" stopIfTrue="1" operator="greaterThan">
      <formula>R18</formula>
    </cfRule>
  </conditionalFormatting>
  <conditionalFormatting sqref="S19">
    <cfRule type="cellIs" dxfId="109" priority="1555" stopIfTrue="1" operator="lessThan">
      <formula>R19</formula>
    </cfRule>
    <cfRule type="cellIs" dxfId="108" priority="1556" stopIfTrue="1" operator="greaterThan">
      <formula>R19</formula>
    </cfRule>
  </conditionalFormatting>
  <conditionalFormatting sqref="S20">
    <cfRule type="cellIs" dxfId="107" priority="1553" stopIfTrue="1" operator="lessThan">
      <formula>R20</formula>
    </cfRule>
    <cfRule type="cellIs" dxfId="106" priority="1554" stopIfTrue="1" operator="greaterThan">
      <formula>R20</formula>
    </cfRule>
  </conditionalFormatting>
  <conditionalFormatting sqref="S18:S20">
    <cfRule type="cellIs" dxfId="105" priority="1551" stopIfTrue="1" operator="lessThan">
      <formula>R18</formula>
    </cfRule>
    <cfRule type="cellIs" dxfId="104" priority="1552" stopIfTrue="1" operator="greaterThan">
      <formula>R18</formula>
    </cfRule>
  </conditionalFormatting>
  <conditionalFormatting sqref="U18">
    <cfRule type="cellIs" dxfId="103" priority="1549" stopIfTrue="1" operator="lessThan">
      <formula>T18</formula>
    </cfRule>
    <cfRule type="cellIs" dxfId="102" priority="1550" stopIfTrue="1" operator="greaterThan">
      <formula>T18</formula>
    </cfRule>
  </conditionalFormatting>
  <conditionalFormatting sqref="U19">
    <cfRule type="cellIs" dxfId="101" priority="1547" stopIfTrue="1" operator="lessThan">
      <formula>T19</formula>
    </cfRule>
    <cfRule type="cellIs" dxfId="100" priority="1548" stopIfTrue="1" operator="greaterThan">
      <formula>T19</formula>
    </cfRule>
  </conditionalFormatting>
  <conditionalFormatting sqref="U20">
    <cfRule type="cellIs" dxfId="99" priority="1545" stopIfTrue="1" operator="lessThan">
      <formula>T20</formula>
    </cfRule>
    <cfRule type="cellIs" dxfId="98" priority="1546" stopIfTrue="1" operator="greaterThan">
      <formula>T20</formula>
    </cfRule>
  </conditionalFormatting>
  <conditionalFormatting sqref="U18:U20">
    <cfRule type="cellIs" dxfId="97" priority="1543" stopIfTrue="1" operator="lessThan">
      <formula>T18</formula>
    </cfRule>
    <cfRule type="cellIs" dxfId="96" priority="1544" stopIfTrue="1" operator="greaterThan">
      <formula>T18</formula>
    </cfRule>
  </conditionalFormatting>
  <conditionalFormatting sqref="W18">
    <cfRule type="cellIs" dxfId="95" priority="1541" stopIfTrue="1" operator="lessThan">
      <formula>V18</formula>
    </cfRule>
    <cfRule type="cellIs" dxfId="94" priority="1542" stopIfTrue="1" operator="greaterThan">
      <formula>V18</formula>
    </cfRule>
  </conditionalFormatting>
  <conditionalFormatting sqref="W19">
    <cfRule type="cellIs" dxfId="93" priority="1539" stopIfTrue="1" operator="lessThan">
      <formula>V19</formula>
    </cfRule>
    <cfRule type="cellIs" dxfId="92" priority="1540" stopIfTrue="1" operator="greaterThan">
      <formula>V19</formula>
    </cfRule>
  </conditionalFormatting>
  <conditionalFormatting sqref="W20">
    <cfRule type="cellIs" dxfId="91" priority="1537" stopIfTrue="1" operator="lessThan">
      <formula>V20</formula>
    </cfRule>
    <cfRule type="cellIs" dxfId="90" priority="1538" stopIfTrue="1" operator="greaterThan">
      <formula>V20</formula>
    </cfRule>
  </conditionalFormatting>
  <conditionalFormatting sqref="W18:W20">
    <cfRule type="cellIs" dxfId="89" priority="1535" stopIfTrue="1" operator="lessThan">
      <formula>V18</formula>
    </cfRule>
    <cfRule type="cellIs" dxfId="88" priority="1536" stopIfTrue="1" operator="greaterThan">
      <formula>V18</formula>
    </cfRule>
  </conditionalFormatting>
  <conditionalFormatting sqref="Y18">
    <cfRule type="cellIs" dxfId="87" priority="1533" stopIfTrue="1" operator="lessThan">
      <formula>X18</formula>
    </cfRule>
    <cfRule type="cellIs" dxfId="86" priority="1534" stopIfTrue="1" operator="greaterThan">
      <formula>X18</formula>
    </cfRule>
  </conditionalFormatting>
  <conditionalFormatting sqref="Y19">
    <cfRule type="cellIs" dxfId="85" priority="1531" stopIfTrue="1" operator="lessThan">
      <formula>X19</formula>
    </cfRule>
    <cfRule type="cellIs" dxfId="84" priority="1532" stopIfTrue="1" operator="greaterThan">
      <formula>X19</formula>
    </cfRule>
  </conditionalFormatting>
  <conditionalFormatting sqref="Y20">
    <cfRule type="cellIs" dxfId="83" priority="1529" stopIfTrue="1" operator="lessThan">
      <formula>X20</formula>
    </cfRule>
    <cfRule type="cellIs" dxfId="82" priority="1530" stopIfTrue="1" operator="greaterThan">
      <formula>X20</formula>
    </cfRule>
  </conditionalFormatting>
  <conditionalFormatting sqref="Y18:Y20">
    <cfRule type="cellIs" dxfId="81" priority="1527" stopIfTrue="1" operator="lessThan">
      <formula>X18</formula>
    </cfRule>
    <cfRule type="cellIs" dxfId="80" priority="1528" stopIfTrue="1" operator="greaterThan">
      <formula>X18</formula>
    </cfRule>
  </conditionalFormatting>
  <conditionalFormatting sqref="G18">
    <cfRule type="cellIs" dxfId="79" priority="1359" stopIfTrue="1" operator="lessThan">
      <formula>F18</formula>
    </cfRule>
    <cfRule type="cellIs" dxfId="78" priority="1360" stopIfTrue="1" operator="greaterThan">
      <formula>F18</formula>
    </cfRule>
  </conditionalFormatting>
  <conditionalFormatting sqref="G19">
    <cfRule type="cellIs" dxfId="77" priority="1357" stopIfTrue="1" operator="lessThan">
      <formula>F19</formula>
    </cfRule>
    <cfRule type="cellIs" dxfId="76" priority="1358" stopIfTrue="1" operator="greaterThan">
      <formula>F19</formula>
    </cfRule>
  </conditionalFormatting>
  <conditionalFormatting sqref="G20">
    <cfRule type="cellIs" dxfId="75" priority="1355" stopIfTrue="1" operator="lessThan">
      <formula>F20</formula>
    </cfRule>
    <cfRule type="cellIs" dxfId="74" priority="1356" stopIfTrue="1" operator="greaterThan">
      <formula>F20</formula>
    </cfRule>
  </conditionalFormatting>
  <conditionalFormatting sqref="G18:G20">
    <cfRule type="cellIs" dxfId="73" priority="1353" stopIfTrue="1" operator="lessThan">
      <formula>F18</formula>
    </cfRule>
    <cfRule type="cellIs" dxfId="72" priority="1354" stopIfTrue="1" operator="greaterThan">
      <formula>F18</formula>
    </cfRule>
  </conditionalFormatting>
  <conditionalFormatting sqref="I18">
    <cfRule type="cellIs" dxfId="71" priority="1351" stopIfTrue="1" operator="lessThan">
      <formula>H18</formula>
    </cfRule>
    <cfRule type="cellIs" dxfId="70" priority="1352" stopIfTrue="1" operator="greaterThan">
      <formula>H18</formula>
    </cfRule>
  </conditionalFormatting>
  <conditionalFormatting sqref="I19">
    <cfRule type="cellIs" dxfId="69" priority="1349" stopIfTrue="1" operator="lessThan">
      <formula>H19</formula>
    </cfRule>
    <cfRule type="cellIs" dxfId="68" priority="1350" stopIfTrue="1" operator="greaterThan">
      <formula>H19</formula>
    </cfRule>
  </conditionalFormatting>
  <conditionalFormatting sqref="I20">
    <cfRule type="cellIs" dxfId="67" priority="1347" stopIfTrue="1" operator="lessThan">
      <formula>H20</formula>
    </cfRule>
    <cfRule type="cellIs" dxfId="66" priority="1348" stopIfTrue="1" operator="greaterThan">
      <formula>H20</formula>
    </cfRule>
  </conditionalFormatting>
  <conditionalFormatting sqref="I18:I20">
    <cfRule type="cellIs" dxfId="65" priority="1345" stopIfTrue="1" operator="lessThan">
      <formula>H18</formula>
    </cfRule>
    <cfRule type="cellIs" dxfId="64" priority="1346" stopIfTrue="1" operator="greaterThan">
      <formula>H18</formula>
    </cfRule>
  </conditionalFormatting>
  <conditionalFormatting sqref="K18">
    <cfRule type="cellIs" dxfId="63" priority="1343" stopIfTrue="1" operator="lessThan">
      <formula>J18</formula>
    </cfRule>
    <cfRule type="cellIs" dxfId="62" priority="1344" stopIfTrue="1" operator="greaterThan">
      <formula>J18</formula>
    </cfRule>
  </conditionalFormatting>
  <conditionalFormatting sqref="K19">
    <cfRule type="cellIs" dxfId="61" priority="1341" stopIfTrue="1" operator="lessThan">
      <formula>J19</formula>
    </cfRule>
    <cfRule type="cellIs" dxfId="60" priority="1342" stopIfTrue="1" operator="greaterThan">
      <formula>J19</formula>
    </cfRule>
  </conditionalFormatting>
  <conditionalFormatting sqref="K20">
    <cfRule type="cellIs" dxfId="59" priority="1339" stopIfTrue="1" operator="lessThan">
      <formula>J20</formula>
    </cfRule>
    <cfRule type="cellIs" dxfId="58" priority="1340" stopIfTrue="1" operator="greaterThan">
      <formula>J20</formula>
    </cfRule>
  </conditionalFormatting>
  <conditionalFormatting sqref="K18:K20">
    <cfRule type="cellIs" dxfId="57" priority="1337" stopIfTrue="1" operator="lessThan">
      <formula>J18</formula>
    </cfRule>
    <cfRule type="cellIs" dxfId="56" priority="1338" stopIfTrue="1" operator="greaterThan">
      <formula>J18</formula>
    </cfRule>
  </conditionalFormatting>
  <conditionalFormatting sqref="M18">
    <cfRule type="cellIs" dxfId="55" priority="1335" stopIfTrue="1" operator="lessThan">
      <formula>L18</formula>
    </cfRule>
    <cfRule type="cellIs" dxfId="54" priority="1336" stopIfTrue="1" operator="greaterThan">
      <formula>L18</formula>
    </cfRule>
  </conditionalFormatting>
  <conditionalFormatting sqref="M19">
    <cfRule type="cellIs" dxfId="53" priority="1333" stopIfTrue="1" operator="lessThan">
      <formula>L19</formula>
    </cfRule>
    <cfRule type="cellIs" dxfId="52" priority="1334" stopIfTrue="1" operator="greaterThan">
      <formula>L19</formula>
    </cfRule>
  </conditionalFormatting>
  <conditionalFormatting sqref="M20">
    <cfRule type="cellIs" dxfId="51" priority="1331" stopIfTrue="1" operator="lessThan">
      <formula>L20</formula>
    </cfRule>
    <cfRule type="cellIs" dxfId="50" priority="1332" stopIfTrue="1" operator="greaterThan">
      <formula>L20</formula>
    </cfRule>
  </conditionalFormatting>
  <conditionalFormatting sqref="M18:M20">
    <cfRule type="cellIs" dxfId="49" priority="1329" stopIfTrue="1" operator="lessThan">
      <formula>L18</formula>
    </cfRule>
    <cfRule type="cellIs" dxfId="48" priority="1330" stopIfTrue="1" operator="greaterThan">
      <formula>L18</formula>
    </cfRule>
  </conditionalFormatting>
  <conditionalFormatting sqref="O18">
    <cfRule type="cellIs" dxfId="47" priority="1327" stopIfTrue="1" operator="lessThan">
      <formula>N18</formula>
    </cfRule>
    <cfRule type="cellIs" dxfId="46" priority="1328" stopIfTrue="1" operator="greaterThan">
      <formula>N18</formula>
    </cfRule>
  </conditionalFormatting>
  <conditionalFormatting sqref="O19">
    <cfRule type="cellIs" dxfId="45" priority="1325" stopIfTrue="1" operator="lessThan">
      <formula>N19</formula>
    </cfRule>
    <cfRule type="cellIs" dxfId="44" priority="1326" stopIfTrue="1" operator="greaterThan">
      <formula>N19</formula>
    </cfRule>
  </conditionalFormatting>
  <conditionalFormatting sqref="O20">
    <cfRule type="cellIs" dxfId="43" priority="1323" stopIfTrue="1" operator="lessThan">
      <formula>N20</formula>
    </cfRule>
    <cfRule type="cellIs" dxfId="42" priority="1324" stopIfTrue="1" operator="greaterThan">
      <formula>N20</formula>
    </cfRule>
  </conditionalFormatting>
  <conditionalFormatting sqref="O18:O20">
    <cfRule type="cellIs" dxfId="41" priority="1321" stopIfTrue="1" operator="lessThan">
      <formula>N18</formula>
    </cfRule>
    <cfRule type="cellIs" dxfId="40" priority="1322" stopIfTrue="1" operator="greaterThan">
      <formula>N18</formula>
    </cfRule>
  </conditionalFormatting>
  <conditionalFormatting sqref="Q18">
    <cfRule type="cellIs" dxfId="39" priority="1319" stopIfTrue="1" operator="lessThan">
      <formula>P18</formula>
    </cfRule>
    <cfRule type="cellIs" dxfId="38" priority="1320" stopIfTrue="1" operator="greaterThan">
      <formula>P18</formula>
    </cfRule>
  </conditionalFormatting>
  <conditionalFormatting sqref="Q19">
    <cfRule type="cellIs" dxfId="37" priority="1317" stopIfTrue="1" operator="lessThan">
      <formula>P19</formula>
    </cfRule>
    <cfRule type="cellIs" dxfId="36" priority="1318" stopIfTrue="1" operator="greaterThan">
      <formula>P19</formula>
    </cfRule>
  </conditionalFormatting>
  <conditionalFormatting sqref="Q20">
    <cfRule type="cellIs" dxfId="35" priority="1315" stopIfTrue="1" operator="lessThan">
      <formula>P20</formula>
    </cfRule>
    <cfRule type="cellIs" dxfId="34" priority="1316" stopIfTrue="1" operator="greaterThan">
      <formula>P20</formula>
    </cfRule>
  </conditionalFormatting>
  <conditionalFormatting sqref="Q18:Q20">
    <cfRule type="cellIs" dxfId="33" priority="1313" stopIfTrue="1" operator="lessThan">
      <formula>P18</formula>
    </cfRule>
    <cfRule type="cellIs" dxfId="32" priority="1314" stopIfTrue="1" operator="greaterThan">
      <formula>P18</formula>
    </cfRule>
  </conditionalFormatting>
  <conditionalFormatting sqref="S18">
    <cfRule type="cellIs" dxfId="31" priority="1311" stopIfTrue="1" operator="lessThan">
      <formula>R18</formula>
    </cfRule>
    <cfRule type="cellIs" dxfId="30" priority="1312" stopIfTrue="1" operator="greaterThan">
      <formula>R18</formula>
    </cfRule>
  </conditionalFormatting>
  <conditionalFormatting sqref="S19">
    <cfRule type="cellIs" dxfId="29" priority="1309" stopIfTrue="1" operator="lessThan">
      <formula>R19</formula>
    </cfRule>
    <cfRule type="cellIs" dxfId="28" priority="1310" stopIfTrue="1" operator="greaterThan">
      <formula>R19</formula>
    </cfRule>
  </conditionalFormatting>
  <conditionalFormatting sqref="S20">
    <cfRule type="cellIs" dxfId="27" priority="1307" stopIfTrue="1" operator="lessThan">
      <formula>R20</formula>
    </cfRule>
    <cfRule type="cellIs" dxfId="26" priority="1308" stopIfTrue="1" operator="greaterThan">
      <formula>R20</formula>
    </cfRule>
  </conditionalFormatting>
  <conditionalFormatting sqref="S18:S20">
    <cfRule type="cellIs" dxfId="25" priority="1305" stopIfTrue="1" operator="lessThan">
      <formula>R18</formula>
    </cfRule>
    <cfRule type="cellIs" dxfId="24" priority="1306" stopIfTrue="1" operator="greaterThan">
      <formula>R18</formula>
    </cfRule>
  </conditionalFormatting>
  <conditionalFormatting sqref="U18">
    <cfRule type="cellIs" dxfId="23" priority="1303" stopIfTrue="1" operator="lessThan">
      <formula>T18</formula>
    </cfRule>
    <cfRule type="cellIs" dxfId="22" priority="1304" stopIfTrue="1" operator="greaterThan">
      <formula>T18</formula>
    </cfRule>
  </conditionalFormatting>
  <conditionalFormatting sqref="U19">
    <cfRule type="cellIs" dxfId="21" priority="1301" stopIfTrue="1" operator="lessThan">
      <formula>T19</formula>
    </cfRule>
    <cfRule type="cellIs" dxfId="20" priority="1302" stopIfTrue="1" operator="greaterThan">
      <formula>T19</formula>
    </cfRule>
  </conditionalFormatting>
  <conditionalFormatting sqref="U20">
    <cfRule type="cellIs" dxfId="19" priority="1299" stopIfTrue="1" operator="lessThan">
      <formula>T20</formula>
    </cfRule>
    <cfRule type="cellIs" dxfId="18" priority="1300" stopIfTrue="1" operator="greaterThan">
      <formula>T20</formula>
    </cfRule>
  </conditionalFormatting>
  <conditionalFormatting sqref="U18:U20">
    <cfRule type="cellIs" dxfId="17" priority="1297" stopIfTrue="1" operator="lessThan">
      <formula>T18</formula>
    </cfRule>
    <cfRule type="cellIs" dxfId="16" priority="1298" stopIfTrue="1" operator="greaterThan">
      <formula>T18</formula>
    </cfRule>
  </conditionalFormatting>
  <conditionalFormatting sqref="W18">
    <cfRule type="cellIs" dxfId="15" priority="1293" stopIfTrue="1" operator="lessThan">
      <formula>V18</formula>
    </cfRule>
    <cfRule type="cellIs" dxfId="14" priority="1294" stopIfTrue="1" operator="greaterThan">
      <formula>V18</formula>
    </cfRule>
  </conditionalFormatting>
  <conditionalFormatting sqref="W19">
    <cfRule type="cellIs" dxfId="13" priority="1291" stopIfTrue="1" operator="lessThan">
      <formula>V19</formula>
    </cfRule>
    <cfRule type="cellIs" dxfId="12" priority="1292" stopIfTrue="1" operator="greaterThan">
      <formula>V19</formula>
    </cfRule>
  </conditionalFormatting>
  <conditionalFormatting sqref="W20">
    <cfRule type="cellIs" dxfId="11" priority="1289" stopIfTrue="1" operator="lessThan">
      <formula>V20</formula>
    </cfRule>
    <cfRule type="cellIs" dxfId="10" priority="1290" stopIfTrue="1" operator="greaterThan">
      <formula>V20</formula>
    </cfRule>
  </conditionalFormatting>
  <conditionalFormatting sqref="W18:W20">
    <cfRule type="cellIs" dxfId="9" priority="1287" stopIfTrue="1" operator="lessThan">
      <formula>V18</formula>
    </cfRule>
    <cfRule type="cellIs" dxfId="8" priority="1288" stopIfTrue="1" operator="greaterThan">
      <formula>V18</formula>
    </cfRule>
  </conditionalFormatting>
  <conditionalFormatting sqref="Y18">
    <cfRule type="cellIs" dxfId="7" priority="1285" stopIfTrue="1" operator="lessThan">
      <formula>X18</formula>
    </cfRule>
    <cfRule type="cellIs" dxfId="6" priority="1286" stopIfTrue="1" operator="greaterThan">
      <formula>X18</formula>
    </cfRule>
  </conditionalFormatting>
  <conditionalFormatting sqref="Y19">
    <cfRule type="cellIs" dxfId="5" priority="1283" stopIfTrue="1" operator="lessThan">
      <formula>X19</formula>
    </cfRule>
    <cfRule type="cellIs" dxfId="4" priority="1284" stopIfTrue="1" operator="greaterThan">
      <formula>X19</formula>
    </cfRule>
  </conditionalFormatting>
  <conditionalFormatting sqref="Y20">
    <cfRule type="cellIs" dxfId="3" priority="1281" stopIfTrue="1" operator="lessThan">
      <formula>X20</formula>
    </cfRule>
    <cfRule type="cellIs" dxfId="2" priority="1282" stopIfTrue="1" operator="greaterThan">
      <formula>X20</formula>
    </cfRule>
  </conditionalFormatting>
  <conditionalFormatting sqref="Y18:Y20">
    <cfRule type="cellIs" dxfId="1" priority="1279" stopIfTrue="1" operator="lessThan">
      <formula>X18</formula>
    </cfRule>
    <cfRule type="cellIs" dxfId="0" priority="1280" stopIfTrue="1" operator="greaterThan">
      <formula>X18</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366"/>
  <sheetViews>
    <sheetView zoomScale="90" zoomScaleNormal="90" workbookViewId="0">
      <pane xSplit="2" ySplit="4" topLeftCell="L5" activePane="bottomRight" state="frozen"/>
      <selection pane="topRight" activeCell="C1" sqref="C1"/>
      <selection pane="bottomLeft" activeCell="A5" sqref="A5"/>
      <selection pane="bottomRight" activeCell="N326" sqref="N326"/>
    </sheetView>
  </sheetViews>
  <sheetFormatPr baseColWidth="10" defaultColWidth="11.42578125" defaultRowHeight="12.75" x14ac:dyDescent="0.2"/>
  <cols>
    <col min="1" max="1" width="4.7109375" style="202" customWidth="1"/>
    <col min="2" max="2" width="50.5703125" style="157" customWidth="1"/>
    <col min="3" max="3" width="14.28515625" style="206" customWidth="1"/>
    <col min="4" max="4" width="13.7109375" style="224" customWidth="1"/>
    <col min="5" max="5" width="13.85546875" style="201" bestFit="1" customWidth="1"/>
    <col min="6" max="6" width="13.140625" style="201" customWidth="1"/>
    <col min="7" max="7" width="13.85546875" style="201" bestFit="1" customWidth="1"/>
    <col min="8" max="8" width="11.42578125" style="201"/>
    <col min="9" max="9" width="14.28515625" style="201" bestFit="1" customWidth="1"/>
    <col min="10" max="10" width="14.7109375" style="201" customWidth="1"/>
    <col min="11" max="11" width="13.85546875" style="201" bestFit="1" customWidth="1"/>
    <col min="12" max="12" width="11.42578125" style="201"/>
    <col min="13" max="13" width="14.28515625" style="201" customWidth="1"/>
    <col min="14" max="14" width="11.42578125" style="201"/>
    <col min="15" max="15" width="13.85546875" style="201" bestFit="1" customWidth="1"/>
    <col min="16" max="16" width="11.42578125" style="201"/>
    <col min="17" max="17" width="13.85546875" style="201" bestFit="1" customWidth="1"/>
    <col min="18" max="18" width="11.42578125" style="201"/>
    <col min="19" max="19" width="13.85546875" style="201" bestFit="1" customWidth="1"/>
    <col min="20" max="20" width="11.42578125" style="201"/>
    <col min="21" max="21" width="13.85546875" style="201" bestFit="1" customWidth="1"/>
    <col min="22" max="22" width="11.42578125" style="201"/>
    <col min="23" max="23" width="14.28515625" style="201" customWidth="1"/>
    <col min="24" max="24" width="11.42578125" style="201"/>
    <col min="25" max="25" width="13.85546875" style="201" bestFit="1" customWidth="1"/>
    <col min="26" max="208" width="11.42578125" style="201"/>
    <col min="209" max="209" width="16.7109375" style="201" customWidth="1"/>
    <col min="210" max="214" width="0" style="201" hidden="1" customWidth="1"/>
    <col min="215" max="215" width="29.7109375" style="201" customWidth="1"/>
    <col min="216" max="224" width="13.7109375" style="201" customWidth="1"/>
    <col min="225" max="225" width="14.140625" style="201" customWidth="1"/>
    <col min="226" max="233" width="13.7109375" style="201" customWidth="1"/>
    <col min="234" max="235" width="14.7109375" style="201" customWidth="1"/>
    <col min="236" max="238" width="13.7109375" style="201" customWidth="1"/>
    <col min="239" max="243" width="14.140625" style="201" customWidth="1"/>
    <col min="244" max="464" width="11.42578125" style="201"/>
    <col min="465" max="465" width="16.7109375" style="201" customWidth="1"/>
    <col min="466" max="470" width="0" style="201" hidden="1" customWidth="1"/>
    <col min="471" max="471" width="29.7109375" style="201" customWidth="1"/>
    <col min="472" max="480" width="13.7109375" style="201" customWidth="1"/>
    <col min="481" max="481" width="14.140625" style="201" customWidth="1"/>
    <col min="482" max="489" width="13.7109375" style="201" customWidth="1"/>
    <col min="490" max="491" width="14.7109375" style="201" customWidth="1"/>
    <col min="492" max="494" width="13.7109375" style="201" customWidth="1"/>
    <col min="495" max="499" width="14.140625" style="201" customWidth="1"/>
    <col min="500" max="720" width="11.42578125" style="201"/>
    <col min="721" max="721" width="16.7109375" style="201" customWidth="1"/>
    <col min="722" max="726" width="0" style="201" hidden="1" customWidth="1"/>
    <col min="727" max="727" width="29.7109375" style="201" customWidth="1"/>
    <col min="728" max="736" width="13.7109375" style="201" customWidth="1"/>
    <col min="737" max="737" width="14.140625" style="201" customWidth="1"/>
    <col min="738" max="745" width="13.7109375" style="201" customWidth="1"/>
    <col min="746" max="747" width="14.7109375" style="201" customWidth="1"/>
    <col min="748" max="750" width="13.7109375" style="201" customWidth="1"/>
    <col min="751" max="755" width="14.140625" style="201" customWidth="1"/>
    <col min="756" max="976" width="11.42578125" style="201"/>
    <col min="977" max="977" width="16.7109375" style="201" customWidth="1"/>
    <col min="978" max="982" width="0" style="201" hidden="1" customWidth="1"/>
    <col min="983" max="983" width="29.7109375" style="201" customWidth="1"/>
    <col min="984" max="992" width="13.7109375" style="201" customWidth="1"/>
    <col min="993" max="993" width="14.140625" style="201" customWidth="1"/>
    <col min="994" max="1001" width="13.7109375" style="201" customWidth="1"/>
    <col min="1002" max="1003" width="14.7109375" style="201" customWidth="1"/>
    <col min="1004" max="1006" width="13.7109375" style="201" customWidth="1"/>
    <col min="1007" max="1011" width="14.140625" style="201" customWidth="1"/>
    <col min="1012" max="1232" width="11.42578125" style="201"/>
    <col min="1233" max="1233" width="16.7109375" style="201" customWidth="1"/>
    <col min="1234" max="1238" width="0" style="201" hidden="1" customWidth="1"/>
    <col min="1239" max="1239" width="29.7109375" style="201" customWidth="1"/>
    <col min="1240" max="1248" width="13.7109375" style="201" customWidth="1"/>
    <col min="1249" max="1249" width="14.140625" style="201" customWidth="1"/>
    <col min="1250" max="1257" width="13.7109375" style="201" customWidth="1"/>
    <col min="1258" max="1259" width="14.7109375" style="201" customWidth="1"/>
    <col min="1260" max="1262" width="13.7109375" style="201" customWidth="1"/>
    <col min="1263" max="1267" width="14.140625" style="201" customWidth="1"/>
    <col min="1268" max="1488" width="11.42578125" style="201"/>
    <col min="1489" max="1489" width="16.7109375" style="201" customWidth="1"/>
    <col min="1490" max="1494" width="0" style="201" hidden="1" customWidth="1"/>
    <col min="1495" max="1495" width="29.7109375" style="201" customWidth="1"/>
    <col min="1496" max="1504" width="13.7109375" style="201" customWidth="1"/>
    <col min="1505" max="1505" width="14.140625" style="201" customWidth="1"/>
    <col min="1506" max="1513" width="13.7109375" style="201" customWidth="1"/>
    <col min="1514" max="1515" width="14.7109375" style="201" customWidth="1"/>
    <col min="1516" max="1518" width="13.7109375" style="201" customWidth="1"/>
    <col min="1519" max="1523" width="14.140625" style="201" customWidth="1"/>
    <col min="1524" max="1744" width="11.42578125" style="201"/>
    <col min="1745" max="1745" width="16.7109375" style="201" customWidth="1"/>
    <col min="1746" max="1750" width="0" style="201" hidden="1" customWidth="1"/>
    <col min="1751" max="1751" width="29.7109375" style="201" customWidth="1"/>
    <col min="1752" max="1760" width="13.7109375" style="201" customWidth="1"/>
    <col min="1761" max="1761" width="14.140625" style="201" customWidth="1"/>
    <col min="1762" max="1769" width="13.7109375" style="201" customWidth="1"/>
    <col min="1770" max="1771" width="14.7109375" style="201" customWidth="1"/>
    <col min="1772" max="1774" width="13.7109375" style="201" customWidth="1"/>
    <col min="1775" max="1779" width="14.140625" style="201" customWidth="1"/>
    <col min="1780" max="2000" width="11.42578125" style="201"/>
    <col min="2001" max="2001" width="16.7109375" style="201" customWidth="1"/>
    <col min="2002" max="2006" width="0" style="201" hidden="1" customWidth="1"/>
    <col min="2007" max="2007" width="29.7109375" style="201" customWidth="1"/>
    <col min="2008" max="2016" width="13.7109375" style="201" customWidth="1"/>
    <col min="2017" max="2017" width="14.140625" style="201" customWidth="1"/>
    <col min="2018" max="2025" width="13.7109375" style="201" customWidth="1"/>
    <col min="2026" max="2027" width="14.7109375" style="201" customWidth="1"/>
    <col min="2028" max="2030" width="13.7109375" style="201" customWidth="1"/>
    <col min="2031" max="2035" width="14.140625" style="201" customWidth="1"/>
    <col min="2036" max="2256" width="11.42578125" style="201"/>
    <col min="2257" max="2257" width="16.7109375" style="201" customWidth="1"/>
    <col min="2258" max="2262" width="0" style="201" hidden="1" customWidth="1"/>
    <col min="2263" max="2263" width="29.7109375" style="201" customWidth="1"/>
    <col min="2264" max="2272" width="13.7109375" style="201" customWidth="1"/>
    <col min="2273" max="2273" width="14.140625" style="201" customWidth="1"/>
    <col min="2274" max="2281" width="13.7109375" style="201" customWidth="1"/>
    <col min="2282" max="2283" width="14.7109375" style="201" customWidth="1"/>
    <col min="2284" max="2286" width="13.7109375" style="201" customWidth="1"/>
    <col min="2287" max="2291" width="14.140625" style="201" customWidth="1"/>
    <col min="2292" max="2512" width="11.42578125" style="201"/>
    <col min="2513" max="2513" width="16.7109375" style="201" customWidth="1"/>
    <col min="2514" max="2518" width="0" style="201" hidden="1" customWidth="1"/>
    <col min="2519" max="2519" width="29.7109375" style="201" customWidth="1"/>
    <col min="2520" max="2528" width="13.7109375" style="201" customWidth="1"/>
    <col min="2529" max="2529" width="14.140625" style="201" customWidth="1"/>
    <col min="2530" max="2537" width="13.7109375" style="201" customWidth="1"/>
    <col min="2538" max="2539" width="14.7109375" style="201" customWidth="1"/>
    <col min="2540" max="2542" width="13.7109375" style="201" customWidth="1"/>
    <col min="2543" max="2547" width="14.140625" style="201" customWidth="1"/>
    <col min="2548" max="2768" width="11.42578125" style="201"/>
    <col min="2769" max="2769" width="16.7109375" style="201" customWidth="1"/>
    <col min="2770" max="2774" width="0" style="201" hidden="1" customWidth="1"/>
    <col min="2775" max="2775" width="29.7109375" style="201" customWidth="1"/>
    <col min="2776" max="2784" width="13.7109375" style="201" customWidth="1"/>
    <col min="2785" max="2785" width="14.140625" style="201" customWidth="1"/>
    <col min="2786" max="2793" width="13.7109375" style="201" customWidth="1"/>
    <col min="2794" max="2795" width="14.7109375" style="201" customWidth="1"/>
    <col min="2796" max="2798" width="13.7109375" style="201" customWidth="1"/>
    <col min="2799" max="2803" width="14.140625" style="201" customWidth="1"/>
    <col min="2804" max="3024" width="11.42578125" style="201"/>
    <col min="3025" max="3025" width="16.7109375" style="201" customWidth="1"/>
    <col min="3026" max="3030" width="0" style="201" hidden="1" customWidth="1"/>
    <col min="3031" max="3031" width="29.7109375" style="201" customWidth="1"/>
    <col min="3032" max="3040" width="13.7109375" style="201" customWidth="1"/>
    <col min="3041" max="3041" width="14.140625" style="201" customWidth="1"/>
    <col min="3042" max="3049" width="13.7109375" style="201" customWidth="1"/>
    <col min="3050" max="3051" width="14.7109375" style="201" customWidth="1"/>
    <col min="3052" max="3054" width="13.7109375" style="201" customWidth="1"/>
    <col min="3055" max="3059" width="14.140625" style="201" customWidth="1"/>
    <col min="3060" max="3280" width="11.42578125" style="201"/>
    <col min="3281" max="3281" width="16.7109375" style="201" customWidth="1"/>
    <col min="3282" max="3286" width="0" style="201" hidden="1" customWidth="1"/>
    <col min="3287" max="3287" width="29.7109375" style="201" customWidth="1"/>
    <col min="3288" max="3296" width="13.7109375" style="201" customWidth="1"/>
    <col min="3297" max="3297" width="14.140625" style="201" customWidth="1"/>
    <col min="3298" max="3305" width="13.7109375" style="201" customWidth="1"/>
    <col min="3306" max="3307" width="14.7109375" style="201" customWidth="1"/>
    <col min="3308" max="3310" width="13.7109375" style="201" customWidth="1"/>
    <col min="3311" max="3315" width="14.140625" style="201" customWidth="1"/>
    <col min="3316" max="3536" width="11.42578125" style="201"/>
    <col min="3537" max="3537" width="16.7109375" style="201" customWidth="1"/>
    <col min="3538" max="3542" width="0" style="201" hidden="1" customWidth="1"/>
    <col min="3543" max="3543" width="29.7109375" style="201" customWidth="1"/>
    <col min="3544" max="3552" width="13.7109375" style="201" customWidth="1"/>
    <col min="3553" max="3553" width="14.140625" style="201" customWidth="1"/>
    <col min="3554" max="3561" width="13.7109375" style="201" customWidth="1"/>
    <col min="3562" max="3563" width="14.7109375" style="201" customWidth="1"/>
    <col min="3564" max="3566" width="13.7109375" style="201" customWidth="1"/>
    <col min="3567" max="3571" width="14.140625" style="201" customWidth="1"/>
    <col min="3572" max="3792" width="11.42578125" style="201"/>
    <col min="3793" max="3793" width="16.7109375" style="201" customWidth="1"/>
    <col min="3794" max="3798" width="0" style="201" hidden="1" customWidth="1"/>
    <col min="3799" max="3799" width="29.7109375" style="201" customWidth="1"/>
    <col min="3800" max="3808" width="13.7109375" style="201" customWidth="1"/>
    <col min="3809" max="3809" width="14.140625" style="201" customWidth="1"/>
    <col min="3810" max="3817" width="13.7109375" style="201" customWidth="1"/>
    <col min="3818" max="3819" width="14.7109375" style="201" customWidth="1"/>
    <col min="3820" max="3822" width="13.7109375" style="201" customWidth="1"/>
    <col min="3823" max="3827" width="14.140625" style="201" customWidth="1"/>
    <col min="3828" max="4048" width="11.42578125" style="201"/>
    <col min="4049" max="4049" width="16.7109375" style="201" customWidth="1"/>
    <col min="4050" max="4054" width="0" style="201" hidden="1" customWidth="1"/>
    <col min="4055" max="4055" width="29.7109375" style="201" customWidth="1"/>
    <col min="4056" max="4064" width="13.7109375" style="201" customWidth="1"/>
    <col min="4065" max="4065" width="14.140625" style="201" customWidth="1"/>
    <col min="4066" max="4073" width="13.7109375" style="201" customWidth="1"/>
    <col min="4074" max="4075" width="14.7109375" style="201" customWidth="1"/>
    <col min="4076" max="4078" width="13.7109375" style="201" customWidth="1"/>
    <col min="4079" max="4083" width="14.140625" style="201" customWidth="1"/>
    <col min="4084" max="4304" width="11.42578125" style="201"/>
    <col min="4305" max="4305" width="16.7109375" style="201" customWidth="1"/>
    <col min="4306" max="4310" width="0" style="201" hidden="1" customWidth="1"/>
    <col min="4311" max="4311" width="29.7109375" style="201" customWidth="1"/>
    <col min="4312" max="4320" width="13.7109375" style="201" customWidth="1"/>
    <col min="4321" max="4321" width="14.140625" style="201" customWidth="1"/>
    <col min="4322" max="4329" width="13.7109375" style="201" customWidth="1"/>
    <col min="4330" max="4331" width="14.7109375" style="201" customWidth="1"/>
    <col min="4332" max="4334" width="13.7109375" style="201" customWidth="1"/>
    <col min="4335" max="4339" width="14.140625" style="201" customWidth="1"/>
    <col min="4340" max="4560" width="11.42578125" style="201"/>
    <col min="4561" max="4561" width="16.7109375" style="201" customWidth="1"/>
    <col min="4562" max="4566" width="0" style="201" hidden="1" customWidth="1"/>
    <col min="4567" max="4567" width="29.7109375" style="201" customWidth="1"/>
    <col min="4568" max="4576" width="13.7109375" style="201" customWidth="1"/>
    <col min="4577" max="4577" width="14.140625" style="201" customWidth="1"/>
    <col min="4578" max="4585" width="13.7109375" style="201" customWidth="1"/>
    <col min="4586" max="4587" width="14.7109375" style="201" customWidth="1"/>
    <col min="4588" max="4590" width="13.7109375" style="201" customWidth="1"/>
    <col min="4591" max="4595" width="14.140625" style="201" customWidth="1"/>
    <col min="4596" max="4816" width="11.42578125" style="201"/>
    <col min="4817" max="4817" width="16.7109375" style="201" customWidth="1"/>
    <col min="4818" max="4822" width="0" style="201" hidden="1" customWidth="1"/>
    <col min="4823" max="4823" width="29.7109375" style="201" customWidth="1"/>
    <col min="4824" max="4832" width="13.7109375" style="201" customWidth="1"/>
    <col min="4833" max="4833" width="14.140625" style="201" customWidth="1"/>
    <col min="4834" max="4841" width="13.7109375" style="201" customWidth="1"/>
    <col min="4842" max="4843" width="14.7109375" style="201" customWidth="1"/>
    <col min="4844" max="4846" width="13.7109375" style="201" customWidth="1"/>
    <col min="4847" max="4851" width="14.140625" style="201" customWidth="1"/>
    <col min="4852" max="5072" width="11.42578125" style="201"/>
    <col min="5073" max="5073" width="16.7109375" style="201" customWidth="1"/>
    <col min="5074" max="5078" width="0" style="201" hidden="1" customWidth="1"/>
    <col min="5079" max="5079" width="29.7109375" style="201" customWidth="1"/>
    <col min="5080" max="5088" width="13.7109375" style="201" customWidth="1"/>
    <col min="5089" max="5089" width="14.140625" style="201" customWidth="1"/>
    <col min="5090" max="5097" width="13.7109375" style="201" customWidth="1"/>
    <col min="5098" max="5099" width="14.7109375" style="201" customWidth="1"/>
    <col min="5100" max="5102" width="13.7109375" style="201" customWidth="1"/>
    <col min="5103" max="5107" width="14.140625" style="201" customWidth="1"/>
    <col min="5108" max="5328" width="11.42578125" style="201"/>
    <col min="5329" max="5329" width="16.7109375" style="201" customWidth="1"/>
    <col min="5330" max="5334" width="0" style="201" hidden="1" customWidth="1"/>
    <col min="5335" max="5335" width="29.7109375" style="201" customWidth="1"/>
    <col min="5336" max="5344" width="13.7109375" style="201" customWidth="1"/>
    <col min="5345" max="5345" width="14.140625" style="201" customWidth="1"/>
    <col min="5346" max="5353" width="13.7109375" style="201" customWidth="1"/>
    <col min="5354" max="5355" width="14.7109375" style="201" customWidth="1"/>
    <col min="5356" max="5358" width="13.7109375" style="201" customWidth="1"/>
    <col min="5359" max="5363" width="14.140625" style="201" customWidth="1"/>
    <col min="5364" max="5584" width="11.42578125" style="201"/>
    <col min="5585" max="5585" width="16.7109375" style="201" customWidth="1"/>
    <col min="5586" max="5590" width="0" style="201" hidden="1" customWidth="1"/>
    <col min="5591" max="5591" width="29.7109375" style="201" customWidth="1"/>
    <col min="5592" max="5600" width="13.7109375" style="201" customWidth="1"/>
    <col min="5601" max="5601" width="14.140625" style="201" customWidth="1"/>
    <col min="5602" max="5609" width="13.7109375" style="201" customWidth="1"/>
    <col min="5610" max="5611" width="14.7109375" style="201" customWidth="1"/>
    <col min="5612" max="5614" width="13.7109375" style="201" customWidth="1"/>
    <col min="5615" max="5619" width="14.140625" style="201" customWidth="1"/>
    <col min="5620" max="5840" width="11.42578125" style="201"/>
    <col min="5841" max="5841" width="16.7109375" style="201" customWidth="1"/>
    <col min="5842" max="5846" width="0" style="201" hidden="1" customWidth="1"/>
    <col min="5847" max="5847" width="29.7109375" style="201" customWidth="1"/>
    <col min="5848" max="5856" width="13.7109375" style="201" customWidth="1"/>
    <col min="5857" max="5857" width="14.140625" style="201" customWidth="1"/>
    <col min="5858" max="5865" width="13.7109375" style="201" customWidth="1"/>
    <col min="5866" max="5867" width="14.7109375" style="201" customWidth="1"/>
    <col min="5868" max="5870" width="13.7109375" style="201" customWidth="1"/>
    <col min="5871" max="5875" width="14.140625" style="201" customWidth="1"/>
    <col min="5876" max="6096" width="11.42578125" style="201"/>
    <col min="6097" max="6097" width="16.7109375" style="201" customWidth="1"/>
    <col min="6098" max="6102" width="0" style="201" hidden="1" customWidth="1"/>
    <col min="6103" max="6103" width="29.7109375" style="201" customWidth="1"/>
    <col min="6104" max="6112" width="13.7109375" style="201" customWidth="1"/>
    <col min="6113" max="6113" width="14.140625" style="201" customWidth="1"/>
    <col min="6114" max="6121" width="13.7109375" style="201" customWidth="1"/>
    <col min="6122" max="6123" width="14.7109375" style="201" customWidth="1"/>
    <col min="6124" max="6126" width="13.7109375" style="201" customWidth="1"/>
    <col min="6127" max="6131" width="14.140625" style="201" customWidth="1"/>
    <col min="6132" max="6352" width="11.42578125" style="201"/>
    <col min="6353" max="6353" width="16.7109375" style="201" customWidth="1"/>
    <col min="6354" max="6358" width="0" style="201" hidden="1" customWidth="1"/>
    <col min="6359" max="6359" width="29.7109375" style="201" customWidth="1"/>
    <col min="6360" max="6368" width="13.7109375" style="201" customWidth="1"/>
    <col min="6369" max="6369" width="14.140625" style="201" customWidth="1"/>
    <col min="6370" max="6377" width="13.7109375" style="201" customWidth="1"/>
    <col min="6378" max="6379" width="14.7109375" style="201" customWidth="1"/>
    <col min="6380" max="6382" width="13.7109375" style="201" customWidth="1"/>
    <col min="6383" max="6387" width="14.140625" style="201" customWidth="1"/>
    <col min="6388" max="6608" width="11.42578125" style="201"/>
    <col min="6609" max="6609" width="16.7109375" style="201" customWidth="1"/>
    <col min="6610" max="6614" width="0" style="201" hidden="1" customWidth="1"/>
    <col min="6615" max="6615" width="29.7109375" style="201" customWidth="1"/>
    <col min="6616" max="6624" width="13.7109375" style="201" customWidth="1"/>
    <col min="6625" max="6625" width="14.140625" style="201" customWidth="1"/>
    <col min="6626" max="6633" width="13.7109375" style="201" customWidth="1"/>
    <col min="6634" max="6635" width="14.7109375" style="201" customWidth="1"/>
    <col min="6636" max="6638" width="13.7109375" style="201" customWidth="1"/>
    <col min="6639" max="6643" width="14.140625" style="201" customWidth="1"/>
    <col min="6644" max="6864" width="11.42578125" style="201"/>
    <col min="6865" max="6865" width="16.7109375" style="201" customWidth="1"/>
    <col min="6866" max="6870" width="0" style="201" hidden="1" customWidth="1"/>
    <col min="6871" max="6871" width="29.7109375" style="201" customWidth="1"/>
    <col min="6872" max="6880" width="13.7109375" style="201" customWidth="1"/>
    <col min="6881" max="6881" width="14.140625" style="201" customWidth="1"/>
    <col min="6882" max="6889" width="13.7109375" style="201" customWidth="1"/>
    <col min="6890" max="6891" width="14.7109375" style="201" customWidth="1"/>
    <col min="6892" max="6894" width="13.7109375" style="201" customWidth="1"/>
    <col min="6895" max="6899" width="14.140625" style="201" customWidth="1"/>
    <col min="6900" max="7120" width="11.42578125" style="201"/>
    <col min="7121" max="7121" width="16.7109375" style="201" customWidth="1"/>
    <col min="7122" max="7126" width="0" style="201" hidden="1" customWidth="1"/>
    <col min="7127" max="7127" width="29.7109375" style="201" customWidth="1"/>
    <col min="7128" max="7136" width="13.7109375" style="201" customWidth="1"/>
    <col min="7137" max="7137" width="14.140625" style="201" customWidth="1"/>
    <col min="7138" max="7145" width="13.7109375" style="201" customWidth="1"/>
    <col min="7146" max="7147" width="14.7109375" style="201" customWidth="1"/>
    <col min="7148" max="7150" width="13.7109375" style="201" customWidth="1"/>
    <col min="7151" max="7155" width="14.140625" style="201" customWidth="1"/>
    <col min="7156" max="7376" width="11.42578125" style="201"/>
    <col min="7377" max="7377" width="16.7109375" style="201" customWidth="1"/>
    <col min="7378" max="7382" width="0" style="201" hidden="1" customWidth="1"/>
    <col min="7383" max="7383" width="29.7109375" style="201" customWidth="1"/>
    <col min="7384" max="7392" width="13.7109375" style="201" customWidth="1"/>
    <col min="7393" max="7393" width="14.140625" style="201" customWidth="1"/>
    <col min="7394" max="7401" width="13.7109375" style="201" customWidth="1"/>
    <col min="7402" max="7403" width="14.7109375" style="201" customWidth="1"/>
    <col min="7404" max="7406" width="13.7109375" style="201" customWidth="1"/>
    <col min="7407" max="7411" width="14.140625" style="201" customWidth="1"/>
    <col min="7412" max="7632" width="11.42578125" style="201"/>
    <col min="7633" max="7633" width="16.7109375" style="201" customWidth="1"/>
    <col min="7634" max="7638" width="0" style="201" hidden="1" customWidth="1"/>
    <col min="7639" max="7639" width="29.7109375" style="201" customWidth="1"/>
    <col min="7640" max="7648" width="13.7109375" style="201" customWidth="1"/>
    <col min="7649" max="7649" width="14.140625" style="201" customWidth="1"/>
    <col min="7650" max="7657" width="13.7109375" style="201" customWidth="1"/>
    <col min="7658" max="7659" width="14.7109375" style="201" customWidth="1"/>
    <col min="7660" max="7662" width="13.7109375" style="201" customWidth="1"/>
    <col min="7663" max="7667" width="14.140625" style="201" customWidth="1"/>
    <col min="7668" max="7888" width="11.42578125" style="201"/>
    <col min="7889" max="7889" width="16.7109375" style="201" customWidth="1"/>
    <col min="7890" max="7894" width="0" style="201" hidden="1" customWidth="1"/>
    <col min="7895" max="7895" width="29.7109375" style="201" customWidth="1"/>
    <col min="7896" max="7904" width="13.7109375" style="201" customWidth="1"/>
    <col min="7905" max="7905" width="14.140625" style="201" customWidth="1"/>
    <col min="7906" max="7913" width="13.7109375" style="201" customWidth="1"/>
    <col min="7914" max="7915" width="14.7109375" style="201" customWidth="1"/>
    <col min="7916" max="7918" width="13.7109375" style="201" customWidth="1"/>
    <col min="7919" max="7923" width="14.140625" style="201" customWidth="1"/>
    <col min="7924" max="8144" width="11.42578125" style="201"/>
    <col min="8145" max="8145" width="16.7109375" style="201" customWidth="1"/>
    <col min="8146" max="8150" width="0" style="201" hidden="1" customWidth="1"/>
    <col min="8151" max="8151" width="29.7109375" style="201" customWidth="1"/>
    <col min="8152" max="8160" width="13.7109375" style="201" customWidth="1"/>
    <col min="8161" max="8161" width="14.140625" style="201" customWidth="1"/>
    <col min="8162" max="8169" width="13.7109375" style="201" customWidth="1"/>
    <col min="8170" max="8171" width="14.7109375" style="201" customWidth="1"/>
    <col min="8172" max="8174" width="13.7109375" style="201" customWidth="1"/>
    <col min="8175" max="8179" width="14.140625" style="201" customWidth="1"/>
    <col min="8180" max="8400" width="11.42578125" style="201"/>
    <col min="8401" max="8401" width="16.7109375" style="201" customWidth="1"/>
    <col min="8402" max="8406" width="0" style="201" hidden="1" customWidth="1"/>
    <col min="8407" max="8407" width="29.7109375" style="201" customWidth="1"/>
    <col min="8408" max="8416" width="13.7109375" style="201" customWidth="1"/>
    <col min="8417" max="8417" width="14.140625" style="201" customWidth="1"/>
    <col min="8418" max="8425" width="13.7109375" style="201" customWidth="1"/>
    <col min="8426" max="8427" width="14.7109375" style="201" customWidth="1"/>
    <col min="8428" max="8430" width="13.7109375" style="201" customWidth="1"/>
    <col min="8431" max="8435" width="14.140625" style="201" customWidth="1"/>
    <col min="8436" max="8656" width="11.42578125" style="201"/>
    <col min="8657" max="8657" width="16.7109375" style="201" customWidth="1"/>
    <col min="8658" max="8662" width="0" style="201" hidden="1" customWidth="1"/>
    <col min="8663" max="8663" width="29.7109375" style="201" customWidth="1"/>
    <col min="8664" max="8672" width="13.7109375" style="201" customWidth="1"/>
    <col min="8673" max="8673" width="14.140625" style="201" customWidth="1"/>
    <col min="8674" max="8681" width="13.7109375" style="201" customWidth="1"/>
    <col min="8682" max="8683" width="14.7109375" style="201" customWidth="1"/>
    <col min="8684" max="8686" width="13.7109375" style="201" customWidth="1"/>
    <col min="8687" max="8691" width="14.140625" style="201" customWidth="1"/>
    <col min="8692" max="8912" width="11.42578125" style="201"/>
    <col min="8913" max="8913" width="16.7109375" style="201" customWidth="1"/>
    <col min="8914" max="8918" width="0" style="201" hidden="1" customWidth="1"/>
    <col min="8919" max="8919" width="29.7109375" style="201" customWidth="1"/>
    <col min="8920" max="8928" width="13.7109375" style="201" customWidth="1"/>
    <col min="8929" max="8929" width="14.140625" style="201" customWidth="1"/>
    <col min="8930" max="8937" width="13.7109375" style="201" customWidth="1"/>
    <col min="8938" max="8939" width="14.7109375" style="201" customWidth="1"/>
    <col min="8940" max="8942" width="13.7109375" style="201" customWidth="1"/>
    <col min="8943" max="8947" width="14.140625" style="201" customWidth="1"/>
    <col min="8948" max="9168" width="11.42578125" style="201"/>
    <col min="9169" max="9169" width="16.7109375" style="201" customWidth="1"/>
    <col min="9170" max="9174" width="0" style="201" hidden="1" customWidth="1"/>
    <col min="9175" max="9175" width="29.7109375" style="201" customWidth="1"/>
    <col min="9176" max="9184" width="13.7109375" style="201" customWidth="1"/>
    <col min="9185" max="9185" width="14.140625" style="201" customWidth="1"/>
    <col min="9186" max="9193" width="13.7109375" style="201" customWidth="1"/>
    <col min="9194" max="9195" width="14.7109375" style="201" customWidth="1"/>
    <col min="9196" max="9198" width="13.7109375" style="201" customWidth="1"/>
    <col min="9199" max="9203" width="14.140625" style="201" customWidth="1"/>
    <col min="9204" max="9424" width="11.42578125" style="201"/>
    <col min="9425" max="9425" width="16.7109375" style="201" customWidth="1"/>
    <col min="9426" max="9430" width="0" style="201" hidden="1" customWidth="1"/>
    <col min="9431" max="9431" width="29.7109375" style="201" customWidth="1"/>
    <col min="9432" max="9440" width="13.7109375" style="201" customWidth="1"/>
    <col min="9441" max="9441" width="14.140625" style="201" customWidth="1"/>
    <col min="9442" max="9449" width="13.7109375" style="201" customWidth="1"/>
    <col min="9450" max="9451" width="14.7109375" style="201" customWidth="1"/>
    <col min="9452" max="9454" width="13.7109375" style="201" customWidth="1"/>
    <col min="9455" max="9459" width="14.140625" style="201" customWidth="1"/>
    <col min="9460" max="9680" width="11.42578125" style="201"/>
    <col min="9681" max="9681" width="16.7109375" style="201" customWidth="1"/>
    <col min="9682" max="9686" width="0" style="201" hidden="1" customWidth="1"/>
    <col min="9687" max="9687" width="29.7109375" style="201" customWidth="1"/>
    <col min="9688" max="9696" width="13.7109375" style="201" customWidth="1"/>
    <col min="9697" max="9697" width="14.140625" style="201" customWidth="1"/>
    <col min="9698" max="9705" width="13.7109375" style="201" customWidth="1"/>
    <col min="9706" max="9707" width="14.7109375" style="201" customWidth="1"/>
    <col min="9708" max="9710" width="13.7109375" style="201" customWidth="1"/>
    <col min="9711" max="9715" width="14.140625" style="201" customWidth="1"/>
    <col min="9716" max="9936" width="11.42578125" style="201"/>
    <col min="9937" max="9937" width="16.7109375" style="201" customWidth="1"/>
    <col min="9938" max="9942" width="0" style="201" hidden="1" customWidth="1"/>
    <col min="9943" max="9943" width="29.7109375" style="201" customWidth="1"/>
    <col min="9944" max="9952" width="13.7109375" style="201" customWidth="1"/>
    <col min="9953" max="9953" width="14.140625" style="201" customWidth="1"/>
    <col min="9954" max="9961" width="13.7109375" style="201" customWidth="1"/>
    <col min="9962" max="9963" width="14.7109375" style="201" customWidth="1"/>
    <col min="9964" max="9966" width="13.7109375" style="201" customWidth="1"/>
    <col min="9967" max="9971" width="14.140625" style="201" customWidth="1"/>
    <col min="9972" max="10192" width="11.42578125" style="201"/>
    <col min="10193" max="10193" width="16.7109375" style="201" customWidth="1"/>
    <col min="10194" max="10198" width="0" style="201" hidden="1" customWidth="1"/>
    <col min="10199" max="10199" width="29.7109375" style="201" customWidth="1"/>
    <col min="10200" max="10208" width="13.7109375" style="201" customWidth="1"/>
    <col min="10209" max="10209" width="14.140625" style="201" customWidth="1"/>
    <col min="10210" max="10217" width="13.7109375" style="201" customWidth="1"/>
    <col min="10218" max="10219" width="14.7109375" style="201" customWidth="1"/>
    <col min="10220" max="10222" width="13.7109375" style="201" customWidth="1"/>
    <col min="10223" max="10227" width="14.140625" style="201" customWidth="1"/>
    <col min="10228" max="10448" width="11.42578125" style="201"/>
    <col min="10449" max="10449" width="16.7109375" style="201" customWidth="1"/>
    <col min="10450" max="10454" width="0" style="201" hidden="1" customWidth="1"/>
    <col min="10455" max="10455" width="29.7109375" style="201" customWidth="1"/>
    <col min="10456" max="10464" width="13.7109375" style="201" customWidth="1"/>
    <col min="10465" max="10465" width="14.140625" style="201" customWidth="1"/>
    <col min="10466" max="10473" width="13.7109375" style="201" customWidth="1"/>
    <col min="10474" max="10475" width="14.7109375" style="201" customWidth="1"/>
    <col min="10476" max="10478" width="13.7109375" style="201" customWidth="1"/>
    <col min="10479" max="10483" width="14.140625" style="201" customWidth="1"/>
    <col min="10484" max="10704" width="11.42578125" style="201"/>
    <col min="10705" max="10705" width="16.7109375" style="201" customWidth="1"/>
    <col min="10706" max="10710" width="0" style="201" hidden="1" customWidth="1"/>
    <col min="10711" max="10711" width="29.7109375" style="201" customWidth="1"/>
    <col min="10712" max="10720" width="13.7109375" style="201" customWidth="1"/>
    <col min="10721" max="10721" width="14.140625" style="201" customWidth="1"/>
    <col min="10722" max="10729" width="13.7109375" style="201" customWidth="1"/>
    <col min="10730" max="10731" width="14.7109375" style="201" customWidth="1"/>
    <col min="10732" max="10734" width="13.7109375" style="201" customWidth="1"/>
    <col min="10735" max="10739" width="14.140625" style="201" customWidth="1"/>
    <col min="10740" max="10960" width="11.42578125" style="201"/>
    <col min="10961" max="10961" width="16.7109375" style="201" customWidth="1"/>
    <col min="10962" max="10966" width="0" style="201" hidden="1" customWidth="1"/>
    <col min="10967" max="10967" width="29.7109375" style="201" customWidth="1"/>
    <col min="10968" max="10976" width="13.7109375" style="201" customWidth="1"/>
    <col min="10977" max="10977" width="14.140625" style="201" customWidth="1"/>
    <col min="10978" max="10985" width="13.7109375" style="201" customWidth="1"/>
    <col min="10986" max="10987" width="14.7109375" style="201" customWidth="1"/>
    <col min="10988" max="10990" width="13.7109375" style="201" customWidth="1"/>
    <col min="10991" max="10995" width="14.140625" style="201" customWidth="1"/>
    <col min="10996" max="11216" width="11.42578125" style="201"/>
    <col min="11217" max="11217" width="16.7109375" style="201" customWidth="1"/>
    <col min="11218" max="11222" width="0" style="201" hidden="1" customWidth="1"/>
    <col min="11223" max="11223" width="29.7109375" style="201" customWidth="1"/>
    <col min="11224" max="11232" width="13.7109375" style="201" customWidth="1"/>
    <col min="11233" max="11233" width="14.140625" style="201" customWidth="1"/>
    <col min="11234" max="11241" width="13.7109375" style="201" customWidth="1"/>
    <col min="11242" max="11243" width="14.7109375" style="201" customWidth="1"/>
    <col min="11244" max="11246" width="13.7109375" style="201" customWidth="1"/>
    <col min="11247" max="11251" width="14.140625" style="201" customWidth="1"/>
    <col min="11252" max="11472" width="11.42578125" style="201"/>
    <col min="11473" max="11473" width="16.7109375" style="201" customWidth="1"/>
    <col min="11474" max="11478" width="0" style="201" hidden="1" customWidth="1"/>
    <col min="11479" max="11479" width="29.7109375" style="201" customWidth="1"/>
    <col min="11480" max="11488" width="13.7109375" style="201" customWidth="1"/>
    <col min="11489" max="11489" width="14.140625" style="201" customWidth="1"/>
    <col min="11490" max="11497" width="13.7109375" style="201" customWidth="1"/>
    <col min="11498" max="11499" width="14.7109375" style="201" customWidth="1"/>
    <col min="11500" max="11502" width="13.7109375" style="201" customWidth="1"/>
    <col min="11503" max="11507" width="14.140625" style="201" customWidth="1"/>
    <col min="11508" max="11728" width="11.42578125" style="201"/>
    <col min="11729" max="11729" width="16.7109375" style="201" customWidth="1"/>
    <col min="11730" max="11734" width="0" style="201" hidden="1" customWidth="1"/>
    <col min="11735" max="11735" width="29.7109375" style="201" customWidth="1"/>
    <col min="11736" max="11744" width="13.7109375" style="201" customWidth="1"/>
    <col min="11745" max="11745" width="14.140625" style="201" customWidth="1"/>
    <col min="11746" max="11753" width="13.7109375" style="201" customWidth="1"/>
    <col min="11754" max="11755" width="14.7109375" style="201" customWidth="1"/>
    <col min="11756" max="11758" width="13.7109375" style="201" customWidth="1"/>
    <col min="11759" max="11763" width="14.140625" style="201" customWidth="1"/>
    <col min="11764" max="11984" width="11.42578125" style="201"/>
    <col min="11985" max="11985" width="16.7109375" style="201" customWidth="1"/>
    <col min="11986" max="11990" width="0" style="201" hidden="1" customWidth="1"/>
    <col min="11991" max="11991" width="29.7109375" style="201" customWidth="1"/>
    <col min="11992" max="12000" width="13.7109375" style="201" customWidth="1"/>
    <col min="12001" max="12001" width="14.140625" style="201" customWidth="1"/>
    <col min="12002" max="12009" width="13.7109375" style="201" customWidth="1"/>
    <col min="12010" max="12011" width="14.7109375" style="201" customWidth="1"/>
    <col min="12012" max="12014" width="13.7109375" style="201" customWidth="1"/>
    <col min="12015" max="12019" width="14.140625" style="201" customWidth="1"/>
    <col min="12020" max="12240" width="11.42578125" style="201"/>
    <col min="12241" max="12241" width="16.7109375" style="201" customWidth="1"/>
    <col min="12242" max="12246" width="0" style="201" hidden="1" customWidth="1"/>
    <col min="12247" max="12247" width="29.7109375" style="201" customWidth="1"/>
    <col min="12248" max="12256" width="13.7109375" style="201" customWidth="1"/>
    <col min="12257" max="12257" width="14.140625" style="201" customWidth="1"/>
    <col min="12258" max="12265" width="13.7109375" style="201" customWidth="1"/>
    <col min="12266" max="12267" width="14.7109375" style="201" customWidth="1"/>
    <col min="12268" max="12270" width="13.7109375" style="201" customWidth="1"/>
    <col min="12271" max="12275" width="14.140625" style="201" customWidth="1"/>
    <col min="12276" max="12496" width="11.42578125" style="201"/>
    <col min="12497" max="12497" width="16.7109375" style="201" customWidth="1"/>
    <col min="12498" max="12502" width="0" style="201" hidden="1" customWidth="1"/>
    <col min="12503" max="12503" width="29.7109375" style="201" customWidth="1"/>
    <col min="12504" max="12512" width="13.7109375" style="201" customWidth="1"/>
    <col min="12513" max="12513" width="14.140625" style="201" customWidth="1"/>
    <col min="12514" max="12521" width="13.7109375" style="201" customWidth="1"/>
    <col min="12522" max="12523" width="14.7109375" style="201" customWidth="1"/>
    <col min="12524" max="12526" width="13.7109375" style="201" customWidth="1"/>
    <col min="12527" max="12531" width="14.140625" style="201" customWidth="1"/>
    <col min="12532" max="12752" width="11.42578125" style="201"/>
    <col min="12753" max="12753" width="16.7109375" style="201" customWidth="1"/>
    <col min="12754" max="12758" width="0" style="201" hidden="1" customWidth="1"/>
    <col min="12759" max="12759" width="29.7109375" style="201" customWidth="1"/>
    <col min="12760" max="12768" width="13.7109375" style="201" customWidth="1"/>
    <col min="12769" max="12769" width="14.140625" style="201" customWidth="1"/>
    <col min="12770" max="12777" width="13.7109375" style="201" customWidth="1"/>
    <col min="12778" max="12779" width="14.7109375" style="201" customWidth="1"/>
    <col min="12780" max="12782" width="13.7109375" style="201" customWidth="1"/>
    <col min="12783" max="12787" width="14.140625" style="201" customWidth="1"/>
    <col min="12788" max="13008" width="11.42578125" style="201"/>
    <col min="13009" max="13009" width="16.7109375" style="201" customWidth="1"/>
    <col min="13010" max="13014" width="0" style="201" hidden="1" customWidth="1"/>
    <col min="13015" max="13015" width="29.7109375" style="201" customWidth="1"/>
    <col min="13016" max="13024" width="13.7109375" style="201" customWidth="1"/>
    <col min="13025" max="13025" width="14.140625" style="201" customWidth="1"/>
    <col min="13026" max="13033" width="13.7109375" style="201" customWidth="1"/>
    <col min="13034" max="13035" width="14.7109375" style="201" customWidth="1"/>
    <col min="13036" max="13038" width="13.7109375" style="201" customWidth="1"/>
    <col min="13039" max="13043" width="14.140625" style="201" customWidth="1"/>
    <col min="13044" max="13264" width="11.42578125" style="201"/>
    <col min="13265" max="13265" width="16.7109375" style="201" customWidth="1"/>
    <col min="13266" max="13270" width="0" style="201" hidden="1" customWidth="1"/>
    <col min="13271" max="13271" width="29.7109375" style="201" customWidth="1"/>
    <col min="13272" max="13280" width="13.7109375" style="201" customWidth="1"/>
    <col min="13281" max="13281" width="14.140625" style="201" customWidth="1"/>
    <col min="13282" max="13289" width="13.7109375" style="201" customWidth="1"/>
    <col min="13290" max="13291" width="14.7109375" style="201" customWidth="1"/>
    <col min="13292" max="13294" width="13.7109375" style="201" customWidth="1"/>
    <col min="13295" max="13299" width="14.140625" style="201" customWidth="1"/>
    <col min="13300" max="13520" width="11.42578125" style="201"/>
    <col min="13521" max="13521" width="16.7109375" style="201" customWidth="1"/>
    <col min="13522" max="13526" width="0" style="201" hidden="1" customWidth="1"/>
    <col min="13527" max="13527" width="29.7109375" style="201" customWidth="1"/>
    <col min="13528" max="13536" width="13.7109375" style="201" customWidth="1"/>
    <col min="13537" max="13537" width="14.140625" style="201" customWidth="1"/>
    <col min="13538" max="13545" width="13.7109375" style="201" customWidth="1"/>
    <col min="13546" max="13547" width="14.7109375" style="201" customWidth="1"/>
    <col min="13548" max="13550" width="13.7109375" style="201" customWidth="1"/>
    <col min="13551" max="13555" width="14.140625" style="201" customWidth="1"/>
    <col min="13556" max="13776" width="11.42578125" style="201"/>
    <col min="13777" max="13777" width="16.7109375" style="201" customWidth="1"/>
    <col min="13778" max="13782" width="0" style="201" hidden="1" customWidth="1"/>
    <col min="13783" max="13783" width="29.7109375" style="201" customWidth="1"/>
    <col min="13784" max="13792" width="13.7109375" style="201" customWidth="1"/>
    <col min="13793" max="13793" width="14.140625" style="201" customWidth="1"/>
    <col min="13794" max="13801" width="13.7109375" style="201" customWidth="1"/>
    <col min="13802" max="13803" width="14.7109375" style="201" customWidth="1"/>
    <col min="13804" max="13806" width="13.7109375" style="201" customWidth="1"/>
    <col min="13807" max="13811" width="14.140625" style="201" customWidth="1"/>
    <col min="13812" max="14032" width="11.42578125" style="201"/>
    <col min="14033" max="14033" width="16.7109375" style="201" customWidth="1"/>
    <col min="14034" max="14038" width="0" style="201" hidden="1" customWidth="1"/>
    <col min="14039" max="14039" width="29.7109375" style="201" customWidth="1"/>
    <col min="14040" max="14048" width="13.7109375" style="201" customWidth="1"/>
    <col min="14049" max="14049" width="14.140625" style="201" customWidth="1"/>
    <col min="14050" max="14057" width="13.7109375" style="201" customWidth="1"/>
    <col min="14058" max="14059" width="14.7109375" style="201" customWidth="1"/>
    <col min="14060" max="14062" width="13.7109375" style="201" customWidth="1"/>
    <col min="14063" max="14067" width="14.140625" style="201" customWidth="1"/>
    <col min="14068" max="14288" width="11.42578125" style="201"/>
    <col min="14289" max="14289" width="16.7109375" style="201" customWidth="1"/>
    <col min="14290" max="14294" width="0" style="201" hidden="1" customWidth="1"/>
    <col min="14295" max="14295" width="29.7109375" style="201" customWidth="1"/>
    <col min="14296" max="14304" width="13.7109375" style="201" customWidth="1"/>
    <col min="14305" max="14305" width="14.140625" style="201" customWidth="1"/>
    <col min="14306" max="14313" width="13.7109375" style="201" customWidth="1"/>
    <col min="14314" max="14315" width="14.7109375" style="201" customWidth="1"/>
    <col min="14316" max="14318" width="13.7109375" style="201" customWidth="1"/>
    <col min="14319" max="14323" width="14.140625" style="201" customWidth="1"/>
    <col min="14324" max="14544" width="11.42578125" style="201"/>
    <col min="14545" max="14545" width="16.7109375" style="201" customWidth="1"/>
    <col min="14546" max="14550" width="0" style="201" hidden="1" customWidth="1"/>
    <col min="14551" max="14551" width="29.7109375" style="201" customWidth="1"/>
    <col min="14552" max="14560" width="13.7109375" style="201" customWidth="1"/>
    <col min="14561" max="14561" width="14.140625" style="201" customWidth="1"/>
    <col min="14562" max="14569" width="13.7109375" style="201" customWidth="1"/>
    <col min="14570" max="14571" width="14.7109375" style="201" customWidth="1"/>
    <col min="14572" max="14574" width="13.7109375" style="201" customWidth="1"/>
    <col min="14575" max="14579" width="14.140625" style="201" customWidth="1"/>
    <col min="14580" max="14800" width="11.42578125" style="201"/>
    <col min="14801" max="14801" width="16.7109375" style="201" customWidth="1"/>
    <col min="14802" max="14806" width="0" style="201" hidden="1" customWidth="1"/>
    <col min="14807" max="14807" width="29.7109375" style="201" customWidth="1"/>
    <col min="14808" max="14816" width="13.7109375" style="201" customWidth="1"/>
    <col min="14817" max="14817" width="14.140625" style="201" customWidth="1"/>
    <col min="14818" max="14825" width="13.7109375" style="201" customWidth="1"/>
    <col min="14826" max="14827" width="14.7109375" style="201" customWidth="1"/>
    <col min="14828" max="14830" width="13.7109375" style="201" customWidth="1"/>
    <col min="14831" max="14835" width="14.140625" style="201" customWidth="1"/>
    <col min="14836" max="15056" width="11.42578125" style="201"/>
    <col min="15057" max="15057" width="16.7109375" style="201" customWidth="1"/>
    <col min="15058" max="15062" width="0" style="201" hidden="1" customWidth="1"/>
    <col min="15063" max="15063" width="29.7109375" style="201" customWidth="1"/>
    <col min="15064" max="15072" width="13.7109375" style="201" customWidth="1"/>
    <col min="15073" max="15073" width="14.140625" style="201" customWidth="1"/>
    <col min="15074" max="15081" width="13.7109375" style="201" customWidth="1"/>
    <col min="15082" max="15083" width="14.7109375" style="201" customWidth="1"/>
    <col min="15084" max="15086" width="13.7109375" style="201" customWidth="1"/>
    <col min="15087" max="15091" width="14.140625" style="201" customWidth="1"/>
    <col min="15092" max="15312" width="11.42578125" style="201"/>
    <col min="15313" max="15313" width="16.7109375" style="201" customWidth="1"/>
    <col min="15314" max="15318" width="0" style="201" hidden="1" customWidth="1"/>
    <col min="15319" max="15319" width="29.7109375" style="201" customWidth="1"/>
    <col min="15320" max="15328" width="13.7109375" style="201" customWidth="1"/>
    <col min="15329" max="15329" width="14.140625" style="201" customWidth="1"/>
    <col min="15330" max="15337" width="13.7109375" style="201" customWidth="1"/>
    <col min="15338" max="15339" width="14.7109375" style="201" customWidth="1"/>
    <col min="15340" max="15342" width="13.7109375" style="201" customWidth="1"/>
    <col min="15343" max="15347" width="14.140625" style="201" customWidth="1"/>
    <col min="15348" max="15568" width="11.42578125" style="201"/>
    <col min="15569" max="15569" width="16.7109375" style="201" customWidth="1"/>
    <col min="15570" max="15574" width="0" style="201" hidden="1" customWidth="1"/>
    <col min="15575" max="15575" width="29.7109375" style="201" customWidth="1"/>
    <col min="15576" max="15584" width="13.7109375" style="201" customWidth="1"/>
    <col min="15585" max="15585" width="14.140625" style="201" customWidth="1"/>
    <col min="15586" max="15593" width="13.7109375" style="201" customWidth="1"/>
    <col min="15594" max="15595" width="14.7109375" style="201" customWidth="1"/>
    <col min="15596" max="15598" width="13.7109375" style="201" customWidth="1"/>
    <col min="15599" max="15603" width="14.140625" style="201" customWidth="1"/>
    <col min="15604" max="15824" width="11.42578125" style="201"/>
    <col min="15825" max="15825" width="16.7109375" style="201" customWidth="1"/>
    <col min="15826" max="15830" width="0" style="201" hidden="1" customWidth="1"/>
    <col min="15831" max="15831" width="29.7109375" style="201" customWidth="1"/>
    <col min="15832" max="15840" width="13.7109375" style="201" customWidth="1"/>
    <col min="15841" max="15841" width="14.140625" style="201" customWidth="1"/>
    <col min="15842" max="15849" width="13.7109375" style="201" customWidth="1"/>
    <col min="15850" max="15851" width="14.7109375" style="201" customWidth="1"/>
    <col min="15852" max="15854" width="13.7109375" style="201" customWidth="1"/>
    <col min="15855" max="15859" width="14.140625" style="201" customWidth="1"/>
    <col min="15860" max="16080" width="11.42578125" style="201"/>
    <col min="16081" max="16081" width="16.7109375" style="201" customWidth="1"/>
    <col min="16082" max="16086" width="0" style="201" hidden="1" customWidth="1"/>
    <col min="16087" max="16087" width="29.7109375" style="201" customWidth="1"/>
    <col min="16088" max="16096" width="13.7109375" style="201" customWidth="1"/>
    <col min="16097" max="16097" width="14.140625" style="201" customWidth="1"/>
    <col min="16098" max="16105" width="13.7109375" style="201" customWidth="1"/>
    <col min="16106" max="16107" width="14.7109375" style="201" customWidth="1"/>
    <col min="16108" max="16110" width="13.7109375" style="201" customWidth="1"/>
    <col min="16111" max="16115" width="14.140625" style="201" customWidth="1"/>
    <col min="16116" max="16384" width="11.42578125" style="201"/>
  </cols>
  <sheetData>
    <row r="1" spans="1:26" x14ac:dyDescent="0.2">
      <c r="A1" s="202" t="s">
        <v>495</v>
      </c>
      <c r="B1" s="201"/>
    </row>
    <row r="2" spans="1:26" x14ac:dyDescent="0.2">
      <c r="C2" s="201"/>
      <c r="D2" s="201"/>
    </row>
    <row r="3" spans="1:26" s="51" customFormat="1" x14ac:dyDescent="0.2">
      <c r="A3" s="295"/>
      <c r="B3" s="296" t="s">
        <v>398</v>
      </c>
      <c r="C3" s="303" t="s">
        <v>11</v>
      </c>
      <c r="D3" s="297">
        <v>160</v>
      </c>
      <c r="E3" s="303" t="s">
        <v>1</v>
      </c>
      <c r="F3" s="297">
        <v>900</v>
      </c>
      <c r="G3" s="303" t="s">
        <v>97</v>
      </c>
      <c r="H3" s="297">
        <v>300</v>
      </c>
      <c r="I3" s="303" t="s">
        <v>98</v>
      </c>
      <c r="J3" s="297">
        <v>3600</v>
      </c>
      <c r="K3" s="303" t="s">
        <v>99</v>
      </c>
      <c r="L3" s="297">
        <v>2400</v>
      </c>
      <c r="M3" s="303" t="s">
        <v>100</v>
      </c>
      <c r="N3" s="297">
        <v>3600</v>
      </c>
      <c r="O3" s="303" t="s">
        <v>101</v>
      </c>
      <c r="P3" s="297">
        <v>3600</v>
      </c>
      <c r="Q3" s="303" t="s">
        <v>102</v>
      </c>
      <c r="R3" s="297">
        <v>2400</v>
      </c>
      <c r="S3" s="303" t="s">
        <v>103</v>
      </c>
      <c r="T3" s="297">
        <v>2400</v>
      </c>
      <c r="U3" s="303" t="s">
        <v>104</v>
      </c>
      <c r="V3" s="297">
        <v>3200</v>
      </c>
      <c r="W3" s="303" t="s">
        <v>105</v>
      </c>
      <c r="X3" s="297">
        <v>3600</v>
      </c>
      <c r="Y3" s="303" t="s">
        <v>106</v>
      </c>
      <c r="Z3" s="297">
        <v>2400</v>
      </c>
    </row>
    <row r="4" spans="1:26" s="310" customFormat="1" ht="21.6" customHeight="1" x14ac:dyDescent="0.25">
      <c r="A4" s="306"/>
      <c r="B4" s="307" t="s">
        <v>369</v>
      </c>
      <c r="C4" s="308" t="s">
        <v>370</v>
      </c>
      <c r="D4" s="309" t="s">
        <v>371</v>
      </c>
      <c r="E4" s="308" t="s">
        <v>370</v>
      </c>
      <c r="F4" s="309" t="s">
        <v>371</v>
      </c>
      <c r="G4" s="308" t="s">
        <v>370</v>
      </c>
      <c r="H4" s="309" t="s">
        <v>371</v>
      </c>
      <c r="I4" s="308" t="s">
        <v>370</v>
      </c>
      <c r="J4" s="309" t="s">
        <v>371</v>
      </c>
      <c r="K4" s="308" t="s">
        <v>370</v>
      </c>
      <c r="L4" s="309" t="s">
        <v>371</v>
      </c>
      <c r="M4" s="308" t="s">
        <v>370</v>
      </c>
      <c r="N4" s="309" t="s">
        <v>371</v>
      </c>
      <c r="O4" s="308" t="s">
        <v>370</v>
      </c>
      <c r="P4" s="309" t="s">
        <v>371</v>
      </c>
      <c r="Q4" s="308" t="s">
        <v>370</v>
      </c>
      <c r="R4" s="309" t="s">
        <v>371</v>
      </c>
      <c r="S4" s="308" t="s">
        <v>370</v>
      </c>
      <c r="T4" s="309" t="s">
        <v>371</v>
      </c>
      <c r="U4" s="308" t="s">
        <v>370</v>
      </c>
      <c r="V4" s="309" t="s">
        <v>371</v>
      </c>
      <c r="W4" s="308" t="s">
        <v>370</v>
      </c>
      <c r="X4" s="309" t="s">
        <v>371</v>
      </c>
      <c r="Y4" s="308" t="s">
        <v>370</v>
      </c>
      <c r="Z4" s="309" t="s">
        <v>371</v>
      </c>
    </row>
    <row r="5" spans="1:26" s="271" customFormat="1" ht="14.45" customHeight="1" x14ac:dyDescent="0.2">
      <c r="A5" s="698" t="s">
        <v>492</v>
      </c>
      <c r="B5" s="195" t="s">
        <v>489</v>
      </c>
      <c r="C5" s="281" t="s">
        <v>372</v>
      </c>
      <c r="D5" s="282" t="s">
        <v>397</v>
      </c>
      <c r="E5" s="281" t="s">
        <v>372</v>
      </c>
      <c r="F5" s="282" t="s">
        <v>397</v>
      </c>
      <c r="G5" s="281" t="s">
        <v>372</v>
      </c>
      <c r="H5" s="282" t="s">
        <v>397</v>
      </c>
      <c r="I5" s="281" t="s">
        <v>372</v>
      </c>
      <c r="J5" s="282" t="s">
        <v>397</v>
      </c>
      <c r="K5" s="281" t="s">
        <v>372</v>
      </c>
      <c r="L5" s="282" t="s">
        <v>397</v>
      </c>
      <c r="M5" s="281" t="s">
        <v>372</v>
      </c>
      <c r="N5" s="282" t="s">
        <v>397</v>
      </c>
      <c r="O5" s="281" t="s">
        <v>372</v>
      </c>
      <c r="P5" s="282" t="s">
        <v>397</v>
      </c>
      <c r="Q5" s="281" t="s">
        <v>372</v>
      </c>
      <c r="R5" s="282" t="s">
        <v>397</v>
      </c>
      <c r="S5" s="281" t="s">
        <v>372</v>
      </c>
      <c r="T5" s="282" t="s">
        <v>397</v>
      </c>
      <c r="U5" s="281" t="s">
        <v>372</v>
      </c>
      <c r="V5" s="282" t="s">
        <v>397</v>
      </c>
      <c r="W5" s="281" t="s">
        <v>372</v>
      </c>
      <c r="X5" s="282" t="s">
        <v>397</v>
      </c>
      <c r="Y5" s="281" t="s">
        <v>372</v>
      </c>
      <c r="Z5" s="282" t="s">
        <v>397</v>
      </c>
    </row>
    <row r="6" spans="1:26" ht="13.15" customHeight="1" x14ac:dyDescent="0.2">
      <c r="A6" s="699"/>
      <c r="B6" s="205" t="s">
        <v>373</v>
      </c>
      <c r="C6" s="230">
        <v>18458</v>
      </c>
      <c r="D6" s="231">
        <v>115.4</v>
      </c>
      <c r="E6" s="230">
        <v>84357</v>
      </c>
      <c r="F6" s="231">
        <v>93.7</v>
      </c>
      <c r="G6" s="230">
        <v>31024</v>
      </c>
      <c r="H6" s="231">
        <v>103.4</v>
      </c>
      <c r="I6" s="230">
        <v>150886</v>
      </c>
      <c r="J6" s="231">
        <v>41.9</v>
      </c>
      <c r="K6" s="230">
        <v>151368</v>
      </c>
      <c r="L6" s="231">
        <v>63.1</v>
      </c>
      <c r="M6" s="230">
        <v>167783</v>
      </c>
      <c r="N6" s="231">
        <v>46.6</v>
      </c>
      <c r="O6" s="230">
        <v>291373</v>
      </c>
      <c r="P6" s="231">
        <v>80.900000000000006</v>
      </c>
      <c r="Q6" s="230">
        <v>179649</v>
      </c>
      <c r="R6" s="231">
        <v>74.900000000000006</v>
      </c>
      <c r="S6" s="230">
        <v>216799</v>
      </c>
      <c r="T6" s="231">
        <v>90.3</v>
      </c>
      <c r="U6" s="230">
        <v>298655</v>
      </c>
      <c r="V6" s="231">
        <v>93.3</v>
      </c>
      <c r="W6" s="230">
        <v>217258</v>
      </c>
      <c r="X6" s="231">
        <v>60.3</v>
      </c>
      <c r="Y6" s="230">
        <v>221406</v>
      </c>
      <c r="Z6" s="273">
        <v>92.3</v>
      </c>
    </row>
    <row r="7" spans="1:26" x14ac:dyDescent="0.2">
      <c r="A7" s="699"/>
      <c r="B7" s="205" t="s">
        <v>374</v>
      </c>
      <c r="C7" s="230">
        <v>0</v>
      </c>
      <c r="D7" s="231">
        <v>0</v>
      </c>
      <c r="E7" s="230">
        <v>0</v>
      </c>
      <c r="F7" s="231">
        <v>0</v>
      </c>
      <c r="G7" s="230">
        <v>1983</v>
      </c>
      <c r="H7" s="231">
        <v>6.6</v>
      </c>
      <c r="I7" s="230">
        <v>24222</v>
      </c>
      <c r="J7" s="231">
        <v>6.7</v>
      </c>
      <c r="K7" s="230">
        <v>19926</v>
      </c>
      <c r="L7" s="231">
        <v>8.3000000000000007</v>
      </c>
      <c r="M7" s="230">
        <v>31613</v>
      </c>
      <c r="N7" s="231">
        <v>8.8000000000000007</v>
      </c>
      <c r="O7" s="230">
        <v>90165</v>
      </c>
      <c r="P7" s="231">
        <v>25</v>
      </c>
      <c r="Q7" s="230">
        <v>56582</v>
      </c>
      <c r="R7" s="231">
        <v>23.6</v>
      </c>
      <c r="S7" s="230">
        <v>28971</v>
      </c>
      <c r="T7" s="231">
        <v>12.1</v>
      </c>
      <c r="U7" s="230">
        <v>53242</v>
      </c>
      <c r="V7" s="231">
        <v>16.600000000000001</v>
      </c>
      <c r="W7" s="230">
        <v>51354</v>
      </c>
      <c r="X7" s="231">
        <v>14.3</v>
      </c>
      <c r="Y7" s="230">
        <v>15469</v>
      </c>
      <c r="Z7" s="273">
        <v>6.4</v>
      </c>
    </row>
    <row r="8" spans="1:26" x14ac:dyDescent="0.2">
      <c r="A8" s="699"/>
      <c r="B8" s="205" t="s">
        <v>375</v>
      </c>
      <c r="C8" s="230">
        <v>4765</v>
      </c>
      <c r="D8" s="231">
        <v>29.8</v>
      </c>
      <c r="E8" s="230">
        <v>26792</v>
      </c>
      <c r="F8" s="231">
        <v>29.8</v>
      </c>
      <c r="G8" s="230">
        <v>3007</v>
      </c>
      <c r="H8" s="231">
        <v>10</v>
      </c>
      <c r="I8" s="230">
        <v>18040</v>
      </c>
      <c r="J8" s="231">
        <v>5</v>
      </c>
      <c r="K8" s="230">
        <v>23530</v>
      </c>
      <c r="L8" s="231">
        <v>9.8000000000000007</v>
      </c>
      <c r="M8" s="230">
        <v>18040</v>
      </c>
      <c r="N8" s="231">
        <v>5</v>
      </c>
      <c r="O8" s="230">
        <v>107170</v>
      </c>
      <c r="P8" s="231">
        <v>29.8</v>
      </c>
      <c r="Q8" s="230">
        <v>71482</v>
      </c>
      <c r="R8" s="231">
        <v>29.8</v>
      </c>
      <c r="S8" s="230">
        <v>71482</v>
      </c>
      <c r="T8" s="231">
        <v>29.8</v>
      </c>
      <c r="U8" s="230">
        <v>156864</v>
      </c>
      <c r="V8" s="231">
        <v>49</v>
      </c>
      <c r="W8" s="230">
        <v>36408</v>
      </c>
      <c r="X8" s="231">
        <v>10.1</v>
      </c>
      <c r="Y8" s="230">
        <v>24054</v>
      </c>
      <c r="Z8" s="273">
        <v>10</v>
      </c>
    </row>
    <row r="9" spans="1:26" x14ac:dyDescent="0.2">
      <c r="A9" s="699"/>
      <c r="B9" s="205" t="s">
        <v>376</v>
      </c>
      <c r="C9" s="230">
        <v>935</v>
      </c>
      <c r="D9" s="231">
        <v>5.8</v>
      </c>
      <c r="E9" s="230">
        <v>6570</v>
      </c>
      <c r="F9" s="231">
        <v>7.3</v>
      </c>
      <c r="G9" s="230">
        <v>7830</v>
      </c>
      <c r="H9" s="231">
        <v>26.1</v>
      </c>
      <c r="I9" s="230">
        <v>93974</v>
      </c>
      <c r="J9" s="231">
        <v>26.1</v>
      </c>
      <c r="K9" s="230">
        <v>68800</v>
      </c>
      <c r="L9" s="231">
        <v>28.7</v>
      </c>
      <c r="M9" s="230">
        <v>122166</v>
      </c>
      <c r="N9" s="231">
        <v>33.9</v>
      </c>
      <c r="O9" s="230">
        <v>292652</v>
      </c>
      <c r="P9" s="231">
        <v>81.3</v>
      </c>
      <c r="Q9" s="230">
        <v>171598</v>
      </c>
      <c r="R9" s="231">
        <v>71.5</v>
      </c>
      <c r="S9" s="230">
        <v>116800</v>
      </c>
      <c r="T9" s="231">
        <v>48.7</v>
      </c>
      <c r="U9" s="230">
        <v>82560</v>
      </c>
      <c r="V9" s="231">
        <v>25.8</v>
      </c>
      <c r="W9" s="230">
        <v>224688</v>
      </c>
      <c r="X9" s="231">
        <v>62.4</v>
      </c>
      <c r="Y9" s="230">
        <v>68904</v>
      </c>
      <c r="Z9" s="273">
        <v>28.7</v>
      </c>
    </row>
    <row r="10" spans="1:26" x14ac:dyDescent="0.2">
      <c r="A10" s="699"/>
      <c r="B10" s="205" t="s">
        <v>377</v>
      </c>
      <c r="C10" s="230">
        <v>119</v>
      </c>
      <c r="D10" s="231">
        <v>0.7</v>
      </c>
      <c r="E10" s="230">
        <v>521</v>
      </c>
      <c r="F10" s="231">
        <v>0.6</v>
      </c>
      <c r="G10" s="230">
        <v>321</v>
      </c>
      <c r="H10" s="231">
        <v>1.1000000000000001</v>
      </c>
      <c r="I10" s="230">
        <v>7441</v>
      </c>
      <c r="J10" s="231">
        <v>2.1</v>
      </c>
      <c r="K10" s="230">
        <v>2119</v>
      </c>
      <c r="L10" s="231">
        <v>0.9</v>
      </c>
      <c r="M10" s="230">
        <v>8598</v>
      </c>
      <c r="N10" s="231">
        <v>2.4</v>
      </c>
      <c r="O10" s="230">
        <v>10481</v>
      </c>
      <c r="P10" s="231">
        <v>2.9</v>
      </c>
      <c r="Q10" s="230">
        <v>1878</v>
      </c>
      <c r="R10" s="231">
        <v>0.8</v>
      </c>
      <c r="S10" s="230">
        <v>5336</v>
      </c>
      <c r="T10" s="231">
        <v>2.2000000000000002</v>
      </c>
      <c r="U10" s="230">
        <v>3262</v>
      </c>
      <c r="V10" s="231">
        <v>1</v>
      </c>
      <c r="W10" s="230">
        <v>11947</v>
      </c>
      <c r="X10" s="231">
        <v>3.3</v>
      </c>
      <c r="Y10" s="230">
        <v>6288</v>
      </c>
      <c r="Z10" s="273">
        <v>2.6</v>
      </c>
    </row>
    <row r="11" spans="1:26" x14ac:dyDescent="0.2">
      <c r="A11" s="699"/>
      <c r="B11" s="205" t="s">
        <v>378</v>
      </c>
      <c r="C11" s="230">
        <v>1822</v>
      </c>
      <c r="D11" s="231">
        <v>11.4</v>
      </c>
      <c r="E11" s="230">
        <v>10253</v>
      </c>
      <c r="F11" s="231">
        <v>11.4</v>
      </c>
      <c r="G11" s="230">
        <v>7830</v>
      </c>
      <c r="H11" s="231">
        <v>26.1</v>
      </c>
      <c r="I11" s="230">
        <v>112752</v>
      </c>
      <c r="J11" s="231">
        <v>31.3</v>
      </c>
      <c r="K11" s="230">
        <v>64500</v>
      </c>
      <c r="L11" s="231">
        <v>26.9</v>
      </c>
      <c r="M11" s="230">
        <v>112752</v>
      </c>
      <c r="N11" s="231">
        <v>31.3</v>
      </c>
      <c r="O11" s="230">
        <v>210172</v>
      </c>
      <c r="P11" s="231">
        <v>58.4</v>
      </c>
      <c r="Q11" s="230">
        <v>140160</v>
      </c>
      <c r="R11" s="231">
        <v>58.4</v>
      </c>
      <c r="S11" s="230">
        <v>140160</v>
      </c>
      <c r="T11" s="231">
        <v>58.4</v>
      </c>
      <c r="U11" s="230">
        <v>82560</v>
      </c>
      <c r="V11" s="231">
        <v>25.8</v>
      </c>
      <c r="W11" s="230">
        <v>252746</v>
      </c>
      <c r="X11" s="231">
        <v>70.2</v>
      </c>
      <c r="Y11" s="230">
        <v>68904</v>
      </c>
      <c r="Z11" s="273">
        <v>28.7</v>
      </c>
    </row>
    <row r="12" spans="1:26" x14ac:dyDescent="0.2">
      <c r="A12" s="699"/>
      <c r="B12" s="205" t="s">
        <v>379</v>
      </c>
      <c r="C12" s="230">
        <v>2803</v>
      </c>
      <c r="D12" s="231">
        <v>17.5</v>
      </c>
      <c r="E12" s="230">
        <v>15768</v>
      </c>
      <c r="F12" s="231">
        <v>17.5</v>
      </c>
      <c r="G12" s="230">
        <v>1566</v>
      </c>
      <c r="H12" s="231">
        <v>5.2</v>
      </c>
      <c r="I12" s="230">
        <v>124050</v>
      </c>
      <c r="J12" s="231">
        <v>34.5</v>
      </c>
      <c r="K12" s="230">
        <v>30960</v>
      </c>
      <c r="L12" s="231">
        <v>12.9</v>
      </c>
      <c r="M12" s="230">
        <v>124050</v>
      </c>
      <c r="N12" s="231">
        <v>34.5</v>
      </c>
      <c r="O12" s="230">
        <v>168192</v>
      </c>
      <c r="P12" s="231">
        <v>46.7</v>
      </c>
      <c r="Q12" s="230">
        <v>56064</v>
      </c>
      <c r="R12" s="231">
        <v>23.4</v>
      </c>
      <c r="S12" s="230">
        <v>14016</v>
      </c>
      <c r="T12" s="231">
        <v>5.8</v>
      </c>
      <c r="U12" s="230">
        <v>8256</v>
      </c>
      <c r="V12" s="231">
        <v>2.6</v>
      </c>
      <c r="W12" s="230">
        <v>13478</v>
      </c>
      <c r="X12" s="231">
        <v>3.7</v>
      </c>
      <c r="Y12" s="230">
        <v>6890</v>
      </c>
      <c r="Z12" s="273">
        <v>2.9</v>
      </c>
    </row>
    <row r="13" spans="1:26" x14ac:dyDescent="0.2">
      <c r="A13" s="699"/>
      <c r="B13" s="205" t="s">
        <v>380</v>
      </c>
      <c r="C13" s="230">
        <v>0</v>
      </c>
      <c r="D13" s="231">
        <v>0</v>
      </c>
      <c r="E13" s="235">
        <v>0</v>
      </c>
      <c r="F13" s="231">
        <v>0</v>
      </c>
      <c r="G13" s="230">
        <v>0</v>
      </c>
      <c r="H13" s="231">
        <v>0</v>
      </c>
      <c r="I13" s="230">
        <v>0</v>
      </c>
      <c r="J13" s="231">
        <v>0</v>
      </c>
      <c r="K13" s="230">
        <v>0</v>
      </c>
      <c r="L13" s="231">
        <v>0</v>
      </c>
      <c r="M13" s="230">
        <v>0</v>
      </c>
      <c r="N13" s="231">
        <v>0</v>
      </c>
      <c r="O13" s="230">
        <v>0</v>
      </c>
      <c r="P13" s="231">
        <v>0</v>
      </c>
      <c r="Q13" s="230">
        <v>0</v>
      </c>
      <c r="R13" s="231">
        <v>0</v>
      </c>
      <c r="S13" s="230">
        <v>0</v>
      </c>
      <c r="T13" s="231">
        <v>0</v>
      </c>
      <c r="U13" s="230">
        <v>0</v>
      </c>
      <c r="V13" s="231">
        <v>0</v>
      </c>
      <c r="W13" s="230">
        <v>0</v>
      </c>
      <c r="X13" s="231">
        <v>0</v>
      </c>
      <c r="Y13" s="230">
        <v>0</v>
      </c>
      <c r="Z13" s="273">
        <v>0</v>
      </c>
    </row>
    <row r="14" spans="1:26" x14ac:dyDescent="0.2">
      <c r="A14" s="699"/>
      <c r="B14" s="205" t="s">
        <v>381</v>
      </c>
      <c r="C14" s="230">
        <v>0</v>
      </c>
      <c r="D14" s="231">
        <v>0</v>
      </c>
      <c r="E14" s="235">
        <v>0</v>
      </c>
      <c r="F14" s="231">
        <v>0</v>
      </c>
      <c r="G14" s="230">
        <v>0</v>
      </c>
      <c r="H14" s="231">
        <v>0</v>
      </c>
      <c r="I14" s="230">
        <v>20235</v>
      </c>
      <c r="J14" s="231">
        <v>5.6</v>
      </c>
      <c r="K14" s="230">
        <v>0</v>
      </c>
      <c r="L14" s="231">
        <v>0</v>
      </c>
      <c r="M14" s="230">
        <v>26017</v>
      </c>
      <c r="N14" s="231">
        <v>7.2</v>
      </c>
      <c r="O14" s="230">
        <v>51513</v>
      </c>
      <c r="P14" s="231">
        <v>14.3</v>
      </c>
      <c r="Q14" s="230">
        <v>0</v>
      </c>
      <c r="R14" s="231">
        <v>0</v>
      </c>
      <c r="S14" s="230">
        <v>22800</v>
      </c>
      <c r="T14" s="231">
        <v>9.5</v>
      </c>
      <c r="U14" s="230">
        <v>0</v>
      </c>
      <c r="V14" s="231">
        <v>0</v>
      </c>
      <c r="W14" s="230">
        <v>53219</v>
      </c>
      <c r="X14" s="231">
        <v>14.8</v>
      </c>
      <c r="Y14" s="230">
        <v>17590</v>
      </c>
      <c r="Z14" s="273">
        <v>7.3</v>
      </c>
    </row>
    <row r="15" spans="1:26" s="20" customFormat="1" x14ac:dyDescent="0.2">
      <c r="A15" s="700"/>
      <c r="B15" s="284" t="s">
        <v>382</v>
      </c>
      <c r="C15" s="275">
        <v>28902</v>
      </c>
      <c r="D15" s="276">
        <v>180.6</v>
      </c>
      <c r="E15" s="277">
        <v>144260</v>
      </c>
      <c r="F15" s="278">
        <v>160.30000000000001</v>
      </c>
      <c r="G15" s="275">
        <v>53560</v>
      </c>
      <c r="H15" s="276">
        <v>178.5</v>
      </c>
      <c r="I15" s="275">
        <v>551601</v>
      </c>
      <c r="J15" s="276">
        <v>153.19999999999999</v>
      </c>
      <c r="K15" s="275">
        <v>361203</v>
      </c>
      <c r="L15" s="276">
        <v>150.5</v>
      </c>
      <c r="M15" s="275">
        <v>611020</v>
      </c>
      <c r="N15" s="276">
        <v>169.7</v>
      </c>
      <c r="O15" s="275">
        <v>1221717</v>
      </c>
      <c r="P15" s="276">
        <v>339.4</v>
      </c>
      <c r="Q15" s="275">
        <v>677412</v>
      </c>
      <c r="R15" s="276">
        <v>282.3</v>
      </c>
      <c r="S15" s="275">
        <v>616365</v>
      </c>
      <c r="T15" s="276">
        <v>256.8</v>
      </c>
      <c r="U15" s="275">
        <v>685400</v>
      </c>
      <c r="V15" s="276">
        <v>214.2</v>
      </c>
      <c r="W15" s="275">
        <v>861099</v>
      </c>
      <c r="X15" s="276">
        <v>239.2</v>
      </c>
      <c r="Y15" s="275">
        <v>429505</v>
      </c>
      <c r="Z15" s="279">
        <v>179</v>
      </c>
    </row>
    <row r="16" spans="1:26" s="20" customFormat="1" x14ac:dyDescent="0.2">
      <c r="A16" s="266"/>
      <c r="B16" s="227"/>
      <c r="C16" s="267"/>
      <c r="D16" s="232"/>
      <c r="E16" s="268"/>
      <c r="F16" s="237"/>
      <c r="G16" s="267"/>
      <c r="H16" s="232"/>
      <c r="I16" s="267"/>
      <c r="J16" s="232"/>
      <c r="K16" s="267"/>
      <c r="L16" s="232"/>
      <c r="M16" s="267"/>
      <c r="N16" s="232"/>
      <c r="O16" s="267"/>
      <c r="P16" s="232"/>
      <c r="Q16" s="267"/>
      <c r="R16" s="232"/>
      <c r="S16" s="267"/>
      <c r="T16" s="232"/>
      <c r="U16" s="267"/>
      <c r="V16" s="232"/>
      <c r="W16" s="267"/>
      <c r="X16" s="232"/>
      <c r="Y16" s="267"/>
      <c r="Z16" s="232"/>
    </row>
    <row r="17" spans="1:26" s="202" customFormat="1" x14ac:dyDescent="0.2">
      <c r="A17" s="698" t="s">
        <v>493</v>
      </c>
      <c r="B17" s="269" t="s">
        <v>488</v>
      </c>
      <c r="C17" s="304" t="s">
        <v>486</v>
      </c>
      <c r="D17" s="280" t="s">
        <v>487</v>
      </c>
      <c r="E17" s="304" t="s">
        <v>486</v>
      </c>
      <c r="F17" s="280" t="s">
        <v>487</v>
      </c>
      <c r="G17" s="304" t="s">
        <v>486</v>
      </c>
      <c r="H17" s="280" t="s">
        <v>487</v>
      </c>
      <c r="I17" s="304" t="s">
        <v>486</v>
      </c>
      <c r="J17" s="280" t="s">
        <v>487</v>
      </c>
      <c r="K17" s="304" t="s">
        <v>486</v>
      </c>
      <c r="L17" s="280" t="s">
        <v>487</v>
      </c>
      <c r="M17" s="304" t="s">
        <v>486</v>
      </c>
      <c r="N17" s="280" t="s">
        <v>487</v>
      </c>
      <c r="O17" s="304" t="s">
        <v>486</v>
      </c>
      <c r="P17" s="280" t="s">
        <v>487</v>
      </c>
      <c r="Q17" s="304" t="s">
        <v>486</v>
      </c>
      <c r="R17" s="280" t="s">
        <v>487</v>
      </c>
      <c r="S17" s="304" t="s">
        <v>486</v>
      </c>
      <c r="T17" s="280" t="s">
        <v>487</v>
      </c>
      <c r="U17" s="304" t="s">
        <v>486</v>
      </c>
      <c r="V17" s="280" t="s">
        <v>487</v>
      </c>
      <c r="W17" s="304" t="s">
        <v>486</v>
      </c>
      <c r="X17" s="280" t="s">
        <v>487</v>
      </c>
      <c r="Y17" s="304" t="s">
        <v>486</v>
      </c>
      <c r="Z17" s="314" t="s">
        <v>487</v>
      </c>
    </row>
    <row r="18" spans="1:26" x14ac:dyDescent="0.2">
      <c r="A18" s="699"/>
      <c r="B18" s="144" t="s">
        <v>252</v>
      </c>
      <c r="C18" s="305">
        <f>'6 Oversikt startpunkt'!B8</f>
        <v>0.3</v>
      </c>
      <c r="D18" s="270">
        <f>'7 Passivhusnivå'!C27</f>
        <v>0.1</v>
      </c>
      <c r="E18" s="305">
        <f>'6 Oversikt startpunkt'!C8</f>
        <v>0.3</v>
      </c>
      <c r="F18" s="270">
        <f>'7 Passivhusnivå'!D27</f>
        <v>0.14000000000000001</v>
      </c>
      <c r="G18" s="305">
        <f>'6 Oversikt startpunkt'!D8</f>
        <v>0.3</v>
      </c>
      <c r="H18" s="270">
        <f>'7 Passivhusnivå'!F27</f>
        <v>0.14000000000000001</v>
      </c>
      <c r="I18" s="305">
        <f>'6 Oversikt startpunkt'!E8</f>
        <v>0.3</v>
      </c>
      <c r="J18" s="270">
        <f>'7 Passivhusnivå'!G27</f>
        <v>0.16</v>
      </c>
      <c r="K18" s="305">
        <f>'6 Oversikt startpunkt'!F8</f>
        <v>0.3</v>
      </c>
      <c r="L18" s="270">
        <f>'7 Passivhusnivå'!H27</f>
        <v>0.16</v>
      </c>
      <c r="M18" s="305">
        <f>'6 Oversikt startpunkt'!G8</f>
        <v>0.3</v>
      </c>
      <c r="N18" s="270">
        <f>'7 Passivhusnivå'!I27</f>
        <v>0.16</v>
      </c>
      <c r="O18" s="305">
        <f>'6 Oversikt startpunkt'!H8</f>
        <v>0.3</v>
      </c>
      <c r="P18" s="270">
        <f>'7 Passivhusnivå'!J27</f>
        <v>0.16</v>
      </c>
      <c r="Q18" s="305">
        <f>'6 Oversikt startpunkt'!I8</f>
        <v>0.3</v>
      </c>
      <c r="R18" s="270">
        <f>'7 Passivhusnivå'!K27</f>
        <v>0.16</v>
      </c>
      <c r="S18" s="305">
        <f>'6 Oversikt startpunkt'!J8</f>
        <v>0.3</v>
      </c>
      <c r="T18" s="270">
        <f>'7 Passivhusnivå'!L27</f>
        <v>0.14000000000000001</v>
      </c>
      <c r="U18" s="305">
        <f>'6 Oversikt startpunkt'!K8</f>
        <v>0.3</v>
      </c>
      <c r="V18" s="270">
        <f>'7 Passivhusnivå'!M27</f>
        <v>0.1</v>
      </c>
      <c r="W18" s="305">
        <f>'6 Oversikt startpunkt'!L8</f>
        <v>0.3</v>
      </c>
      <c r="X18" s="270">
        <f>'7 Passivhusnivå'!N27</f>
        <v>0.16</v>
      </c>
      <c r="Y18" s="305">
        <f>'6 Oversikt startpunkt'!M8</f>
        <v>0.3</v>
      </c>
      <c r="Z18" s="312">
        <f>'7 Passivhusnivå'!O27</f>
        <v>0.16</v>
      </c>
    </row>
    <row r="19" spans="1:26" x14ac:dyDescent="0.2">
      <c r="A19" s="699"/>
      <c r="B19" s="144" t="s">
        <v>13</v>
      </c>
      <c r="C19" s="305">
        <f>'6 Oversikt startpunkt'!B13</f>
        <v>4</v>
      </c>
      <c r="D19" s="270">
        <f>(C19+'7 Passivhusnivå'!C32)*0.5</f>
        <v>2.2999999999999998</v>
      </c>
      <c r="E19" s="305">
        <f>'6 Oversikt startpunkt'!C13</f>
        <v>1.5</v>
      </c>
      <c r="F19" s="270">
        <f>(E19+'7 Passivhusnivå'!D32)*0.5</f>
        <v>1.05</v>
      </c>
      <c r="G19" s="305">
        <f>'6 Oversikt startpunkt'!D13</f>
        <v>3</v>
      </c>
      <c r="H19" s="270">
        <f>(G19+'7 Passivhusnivå'!F32)*0.5</f>
        <v>1.8</v>
      </c>
      <c r="I19" s="305">
        <f>'6 Oversikt startpunkt'!E13</f>
        <v>1.5</v>
      </c>
      <c r="J19" s="270">
        <f>(I19+'7 Passivhusnivå'!G32)*0.5</f>
        <v>1.05</v>
      </c>
      <c r="K19" s="305">
        <f>'6 Oversikt startpunkt'!F13</f>
        <v>3</v>
      </c>
      <c r="L19" s="270">
        <f>(K19+'7 Passivhusnivå'!H32)*0.5</f>
        <v>1.8</v>
      </c>
      <c r="M19" s="305">
        <f>'6 Oversikt startpunkt'!G13</f>
        <v>1.5</v>
      </c>
      <c r="N19" s="270">
        <f>(M19+'7 Passivhusnivå'!I32)*0.5</f>
        <v>1.05</v>
      </c>
      <c r="O19" s="305">
        <f>'6 Oversikt startpunkt'!H13</f>
        <v>1.5</v>
      </c>
      <c r="P19" s="270">
        <f>(O19+'7 Passivhusnivå'!J32)*0.5</f>
        <v>1.05</v>
      </c>
      <c r="Q19" s="305">
        <f>'6 Oversikt startpunkt'!I13</f>
        <v>3</v>
      </c>
      <c r="R19" s="270">
        <f>(Q19+'7 Passivhusnivå'!K32)*0.5</f>
        <v>1.8</v>
      </c>
      <c r="S19" s="305">
        <f>'6 Oversikt startpunkt'!J13</f>
        <v>3</v>
      </c>
      <c r="T19" s="270">
        <f>(S19+'7 Passivhusnivå'!L32)*0.5</f>
        <v>1.8</v>
      </c>
      <c r="U19" s="305">
        <f>'6 Oversikt startpunkt'!K13</f>
        <v>3</v>
      </c>
      <c r="V19" s="270">
        <f>(U19+'7 Passivhusnivå'!M32)*0.5</f>
        <v>1.8</v>
      </c>
      <c r="W19" s="305">
        <f>'6 Oversikt startpunkt'!L13</f>
        <v>1.5</v>
      </c>
      <c r="X19" s="270">
        <f>(W19+'7 Passivhusnivå'!N32)*0.5</f>
        <v>1.05</v>
      </c>
      <c r="Y19" s="305">
        <f>'6 Oversikt startpunkt'!M13</f>
        <v>3</v>
      </c>
      <c r="Z19" s="312">
        <f>(Y19+'7 Passivhusnivå'!O32)*0.5</f>
        <v>1.8</v>
      </c>
    </row>
    <row r="20" spans="1:26" x14ac:dyDescent="0.2">
      <c r="A20" s="699"/>
      <c r="B20" s="144" t="s">
        <v>267</v>
      </c>
      <c r="C20" s="311">
        <f>'6 Oversikt startpunkt'!B12</f>
        <v>0.05</v>
      </c>
      <c r="D20" s="270">
        <f>'7 Passivhusnivå'!C31</f>
        <v>0.03</v>
      </c>
      <c r="E20" s="311">
        <f>'6 Oversikt startpunkt'!C12</f>
        <v>0.12</v>
      </c>
      <c r="F20" s="270">
        <f>'7 Passivhusnivå'!D31</f>
        <v>0.03</v>
      </c>
      <c r="G20" s="311">
        <f>'6 Oversikt startpunkt'!D12</f>
        <v>0.05</v>
      </c>
      <c r="H20" s="270">
        <f>'7 Passivhusnivå'!F31</f>
        <v>0.03</v>
      </c>
      <c r="I20" s="311">
        <f>'6 Oversikt startpunkt'!E12</f>
        <v>0.12</v>
      </c>
      <c r="J20" s="270">
        <f>'7 Passivhusnivå'!G31</f>
        <v>0.03</v>
      </c>
      <c r="K20" s="311">
        <f>'6 Oversikt startpunkt'!F12</f>
        <v>0.12</v>
      </c>
      <c r="L20" s="270">
        <f>'7 Passivhusnivå'!H31</f>
        <v>0.03</v>
      </c>
      <c r="M20" s="311">
        <f>'6 Oversikt startpunkt'!G12</f>
        <v>0.12</v>
      </c>
      <c r="N20" s="270">
        <f>'7 Passivhusnivå'!I31</f>
        <v>0.03</v>
      </c>
      <c r="O20" s="311">
        <f>'6 Oversikt startpunkt'!H12</f>
        <v>0.12</v>
      </c>
      <c r="P20" s="270">
        <f>'7 Passivhusnivå'!J31</f>
        <v>0.03</v>
      </c>
      <c r="Q20" s="311">
        <f>'6 Oversikt startpunkt'!I12</f>
        <v>0.05</v>
      </c>
      <c r="R20" s="270">
        <f>'7 Passivhusnivå'!K31</f>
        <v>0.03</v>
      </c>
      <c r="S20" s="311">
        <f>'6 Oversikt startpunkt'!J12</f>
        <v>0.12</v>
      </c>
      <c r="T20" s="270">
        <f>'7 Passivhusnivå'!L31</f>
        <v>0.03</v>
      </c>
      <c r="U20" s="311">
        <f>'6 Oversikt startpunkt'!K12</f>
        <v>0.12</v>
      </c>
      <c r="V20" s="270">
        <f>'7 Passivhusnivå'!M31</f>
        <v>0.03</v>
      </c>
      <c r="W20" s="311">
        <f>'6 Oversikt startpunkt'!L12</f>
        <v>0.12</v>
      </c>
      <c r="X20" s="270">
        <f>'7 Passivhusnivå'!N31</f>
        <v>0.03</v>
      </c>
      <c r="Y20" s="311">
        <f>'6 Oversikt startpunkt'!M12</f>
        <v>0.12</v>
      </c>
      <c r="Z20" s="313">
        <f>'7 Passivhusnivå'!O31</f>
        <v>0.03</v>
      </c>
    </row>
    <row r="21" spans="1:26" s="216" customFormat="1" x14ac:dyDescent="0.2">
      <c r="A21" s="699"/>
      <c r="B21" s="288" t="s">
        <v>490</v>
      </c>
      <c r="C21" s="289" t="s">
        <v>372</v>
      </c>
      <c r="D21" s="290" t="s">
        <v>397</v>
      </c>
      <c r="E21" s="289" t="s">
        <v>372</v>
      </c>
      <c r="F21" s="291" t="s">
        <v>397</v>
      </c>
      <c r="G21" s="292" t="s">
        <v>372</v>
      </c>
      <c r="H21" s="290" t="s">
        <v>397</v>
      </c>
      <c r="I21" s="289" t="s">
        <v>372</v>
      </c>
      <c r="J21" s="291" t="s">
        <v>397</v>
      </c>
      <c r="K21" s="292" t="s">
        <v>372</v>
      </c>
      <c r="L21" s="290" t="s">
        <v>397</v>
      </c>
      <c r="M21" s="289" t="s">
        <v>372</v>
      </c>
      <c r="N21" s="290" t="s">
        <v>397</v>
      </c>
      <c r="O21" s="289" t="s">
        <v>372</v>
      </c>
      <c r="P21" s="290" t="s">
        <v>397</v>
      </c>
      <c r="Q21" s="289" t="s">
        <v>372</v>
      </c>
      <c r="R21" s="290" t="s">
        <v>397</v>
      </c>
      <c r="S21" s="289" t="s">
        <v>372</v>
      </c>
      <c r="T21" s="290" t="s">
        <v>397</v>
      </c>
      <c r="U21" s="289" t="s">
        <v>372</v>
      </c>
      <c r="V21" s="290" t="s">
        <v>397</v>
      </c>
      <c r="W21" s="289" t="s">
        <v>372</v>
      </c>
      <c r="X21" s="290" t="s">
        <v>397</v>
      </c>
      <c r="Y21" s="289" t="s">
        <v>372</v>
      </c>
      <c r="Z21" s="291" t="s">
        <v>397</v>
      </c>
    </row>
    <row r="22" spans="1:26" x14ac:dyDescent="0.2">
      <c r="A22" s="699"/>
      <c r="B22" s="272" t="s">
        <v>373</v>
      </c>
      <c r="C22" s="230">
        <v>13777</v>
      </c>
      <c r="D22" s="231">
        <v>86.1</v>
      </c>
      <c r="E22" s="230">
        <v>68484</v>
      </c>
      <c r="F22" s="273">
        <v>76.099999999999994</v>
      </c>
      <c r="G22" s="285">
        <v>25678</v>
      </c>
      <c r="H22" s="231">
        <v>85.6</v>
      </c>
      <c r="I22" s="230">
        <v>107565</v>
      </c>
      <c r="J22" s="273">
        <v>29.9</v>
      </c>
      <c r="K22" s="285">
        <v>110409</v>
      </c>
      <c r="L22" s="231">
        <v>46</v>
      </c>
      <c r="M22" s="230">
        <v>120581</v>
      </c>
      <c r="N22" s="231">
        <v>33.5</v>
      </c>
      <c r="O22" s="230">
        <v>234180</v>
      </c>
      <c r="P22" s="231">
        <v>65</v>
      </c>
      <c r="Q22" s="230">
        <v>150860</v>
      </c>
      <c r="R22" s="231">
        <v>62.9</v>
      </c>
      <c r="S22" s="230">
        <v>166513</v>
      </c>
      <c r="T22" s="231">
        <v>69.400000000000006</v>
      </c>
      <c r="U22" s="230">
        <v>200561</v>
      </c>
      <c r="V22" s="231">
        <v>62.7</v>
      </c>
      <c r="W22" s="230">
        <v>162620</v>
      </c>
      <c r="X22" s="231">
        <v>45.2</v>
      </c>
      <c r="Y22" s="230">
        <v>175144</v>
      </c>
      <c r="Z22" s="273">
        <v>73</v>
      </c>
    </row>
    <row r="23" spans="1:26" x14ac:dyDescent="0.2">
      <c r="A23" s="699"/>
      <c r="B23" s="272" t="s">
        <v>374</v>
      </c>
      <c r="C23" s="230">
        <v>0</v>
      </c>
      <c r="D23" s="231">
        <v>0</v>
      </c>
      <c r="E23" s="230">
        <v>0</v>
      </c>
      <c r="F23" s="273">
        <v>0</v>
      </c>
      <c r="G23" s="285">
        <v>1975</v>
      </c>
      <c r="H23" s="231">
        <v>6.6</v>
      </c>
      <c r="I23" s="230">
        <v>24010</v>
      </c>
      <c r="J23" s="273">
        <v>6.7</v>
      </c>
      <c r="K23" s="285">
        <v>19839</v>
      </c>
      <c r="L23" s="231">
        <v>8.3000000000000007</v>
      </c>
      <c r="M23" s="230">
        <v>31438</v>
      </c>
      <c r="N23" s="231">
        <v>8.6999999999999993</v>
      </c>
      <c r="O23" s="230">
        <v>88877</v>
      </c>
      <c r="P23" s="231">
        <v>24.7</v>
      </c>
      <c r="Q23" s="230">
        <v>55844</v>
      </c>
      <c r="R23" s="231">
        <v>23.3</v>
      </c>
      <c r="S23" s="230">
        <v>28915</v>
      </c>
      <c r="T23" s="231">
        <v>12</v>
      </c>
      <c r="U23" s="230">
        <v>52413</v>
      </c>
      <c r="V23" s="231">
        <v>16.399999999999999</v>
      </c>
      <c r="W23" s="230">
        <v>51185</v>
      </c>
      <c r="X23" s="231">
        <v>14.2</v>
      </c>
      <c r="Y23" s="230">
        <v>15435</v>
      </c>
      <c r="Z23" s="273">
        <v>6.4</v>
      </c>
    </row>
    <row r="24" spans="1:26" x14ac:dyDescent="0.2">
      <c r="A24" s="699"/>
      <c r="B24" s="272" t="s">
        <v>375</v>
      </c>
      <c r="C24" s="230">
        <v>4765</v>
      </c>
      <c r="D24" s="231">
        <v>29.8</v>
      </c>
      <c r="E24" s="230">
        <v>26792</v>
      </c>
      <c r="F24" s="273">
        <v>29.8</v>
      </c>
      <c r="G24" s="285">
        <v>3007</v>
      </c>
      <c r="H24" s="231">
        <v>10</v>
      </c>
      <c r="I24" s="230">
        <v>18040</v>
      </c>
      <c r="J24" s="273">
        <v>5</v>
      </c>
      <c r="K24" s="285">
        <v>23530</v>
      </c>
      <c r="L24" s="231">
        <v>9.8000000000000007</v>
      </c>
      <c r="M24" s="230">
        <v>18040</v>
      </c>
      <c r="N24" s="231">
        <v>5</v>
      </c>
      <c r="O24" s="230">
        <v>107170</v>
      </c>
      <c r="P24" s="231">
        <v>29.8</v>
      </c>
      <c r="Q24" s="230">
        <v>71482</v>
      </c>
      <c r="R24" s="231">
        <v>29.8</v>
      </c>
      <c r="S24" s="230">
        <v>71482</v>
      </c>
      <c r="T24" s="231">
        <v>29.8</v>
      </c>
      <c r="U24" s="230">
        <v>156864</v>
      </c>
      <c r="V24" s="231">
        <v>49</v>
      </c>
      <c r="W24" s="230">
        <v>36408</v>
      </c>
      <c r="X24" s="231">
        <v>10.1</v>
      </c>
      <c r="Y24" s="230">
        <v>24054</v>
      </c>
      <c r="Z24" s="273">
        <v>10</v>
      </c>
    </row>
    <row r="25" spans="1:26" x14ac:dyDescent="0.2">
      <c r="A25" s="699"/>
      <c r="B25" s="272" t="s">
        <v>376</v>
      </c>
      <c r="C25" s="230">
        <v>935</v>
      </c>
      <c r="D25" s="231">
        <v>5.8</v>
      </c>
      <c r="E25" s="230">
        <v>6570</v>
      </c>
      <c r="F25" s="273">
        <v>7.3</v>
      </c>
      <c r="G25" s="285">
        <v>7830</v>
      </c>
      <c r="H25" s="231">
        <v>26.1</v>
      </c>
      <c r="I25" s="230">
        <v>93974</v>
      </c>
      <c r="J25" s="273">
        <v>26.1</v>
      </c>
      <c r="K25" s="285">
        <v>68800</v>
      </c>
      <c r="L25" s="231">
        <v>28.7</v>
      </c>
      <c r="M25" s="230">
        <v>122166</v>
      </c>
      <c r="N25" s="231">
        <v>33.9</v>
      </c>
      <c r="O25" s="230">
        <v>292652</v>
      </c>
      <c r="P25" s="231">
        <v>81.3</v>
      </c>
      <c r="Q25" s="230">
        <v>171598</v>
      </c>
      <c r="R25" s="231">
        <v>71.5</v>
      </c>
      <c r="S25" s="230">
        <v>116800</v>
      </c>
      <c r="T25" s="231">
        <v>48.7</v>
      </c>
      <c r="U25" s="230">
        <v>82560</v>
      </c>
      <c r="V25" s="231">
        <v>25.8</v>
      </c>
      <c r="W25" s="230">
        <v>224688</v>
      </c>
      <c r="X25" s="231">
        <v>62.4</v>
      </c>
      <c r="Y25" s="230">
        <v>68904</v>
      </c>
      <c r="Z25" s="273">
        <v>28.7</v>
      </c>
    </row>
    <row r="26" spans="1:26" x14ac:dyDescent="0.2">
      <c r="A26" s="699"/>
      <c r="B26" s="272" t="s">
        <v>377</v>
      </c>
      <c r="C26" s="230">
        <v>102</v>
      </c>
      <c r="D26" s="231">
        <v>0.6</v>
      </c>
      <c r="E26" s="230">
        <v>464</v>
      </c>
      <c r="F26" s="273">
        <v>0.5</v>
      </c>
      <c r="G26" s="285">
        <v>300</v>
      </c>
      <c r="H26" s="231">
        <v>1</v>
      </c>
      <c r="I26" s="230">
        <v>7081</v>
      </c>
      <c r="J26" s="273">
        <v>2</v>
      </c>
      <c r="K26" s="285">
        <v>1958</v>
      </c>
      <c r="L26" s="231">
        <v>0.8</v>
      </c>
      <c r="M26" s="230">
        <v>8417</v>
      </c>
      <c r="N26" s="231">
        <v>2.2999999999999998</v>
      </c>
      <c r="O26" s="230">
        <v>10316</v>
      </c>
      <c r="P26" s="231">
        <v>2.9</v>
      </c>
      <c r="Q26" s="230">
        <v>1765</v>
      </c>
      <c r="R26" s="231">
        <v>0.7</v>
      </c>
      <c r="S26" s="230">
        <v>5163</v>
      </c>
      <c r="T26" s="231">
        <v>2.2000000000000002</v>
      </c>
      <c r="U26" s="230">
        <v>2835</v>
      </c>
      <c r="V26" s="231">
        <v>0.9</v>
      </c>
      <c r="W26" s="230">
        <v>11652</v>
      </c>
      <c r="X26" s="231">
        <v>3.2</v>
      </c>
      <c r="Y26" s="230">
        <v>6125</v>
      </c>
      <c r="Z26" s="273">
        <v>2.6</v>
      </c>
    </row>
    <row r="27" spans="1:26" x14ac:dyDescent="0.2">
      <c r="A27" s="699"/>
      <c r="B27" s="272" t="s">
        <v>378</v>
      </c>
      <c r="C27" s="230">
        <v>1822</v>
      </c>
      <c r="D27" s="231">
        <v>11.4</v>
      </c>
      <c r="E27" s="230">
        <v>10253</v>
      </c>
      <c r="F27" s="273">
        <v>11.4</v>
      </c>
      <c r="G27" s="285">
        <v>7830</v>
      </c>
      <c r="H27" s="231">
        <v>26.1</v>
      </c>
      <c r="I27" s="230">
        <v>112752</v>
      </c>
      <c r="J27" s="273">
        <v>31.3</v>
      </c>
      <c r="K27" s="285">
        <v>64500</v>
      </c>
      <c r="L27" s="231">
        <v>26.9</v>
      </c>
      <c r="M27" s="230">
        <v>112752</v>
      </c>
      <c r="N27" s="231">
        <v>31.3</v>
      </c>
      <c r="O27" s="230">
        <v>210172</v>
      </c>
      <c r="P27" s="231">
        <v>58.4</v>
      </c>
      <c r="Q27" s="230">
        <v>140160</v>
      </c>
      <c r="R27" s="231">
        <v>58.4</v>
      </c>
      <c r="S27" s="230">
        <v>140160</v>
      </c>
      <c r="T27" s="231">
        <v>58.4</v>
      </c>
      <c r="U27" s="230">
        <v>82560</v>
      </c>
      <c r="V27" s="231">
        <v>25.8</v>
      </c>
      <c r="W27" s="230">
        <v>252746</v>
      </c>
      <c r="X27" s="231">
        <v>70.2</v>
      </c>
      <c r="Y27" s="230">
        <v>68904</v>
      </c>
      <c r="Z27" s="273">
        <v>28.7</v>
      </c>
    </row>
    <row r="28" spans="1:26" x14ac:dyDescent="0.2">
      <c r="A28" s="699"/>
      <c r="B28" s="272" t="s">
        <v>379</v>
      </c>
      <c r="C28" s="230">
        <v>2803</v>
      </c>
      <c r="D28" s="231">
        <v>17.5</v>
      </c>
      <c r="E28" s="230">
        <v>15768</v>
      </c>
      <c r="F28" s="273">
        <v>17.5</v>
      </c>
      <c r="G28" s="285">
        <v>1566</v>
      </c>
      <c r="H28" s="231">
        <v>5.2</v>
      </c>
      <c r="I28" s="230">
        <v>124050</v>
      </c>
      <c r="J28" s="273">
        <v>34.5</v>
      </c>
      <c r="K28" s="285">
        <v>30960</v>
      </c>
      <c r="L28" s="231">
        <v>12.9</v>
      </c>
      <c r="M28" s="230">
        <v>124050</v>
      </c>
      <c r="N28" s="231">
        <v>34.5</v>
      </c>
      <c r="O28" s="230">
        <v>168192</v>
      </c>
      <c r="P28" s="231">
        <v>46.7</v>
      </c>
      <c r="Q28" s="230">
        <v>56064</v>
      </c>
      <c r="R28" s="231">
        <v>23.4</v>
      </c>
      <c r="S28" s="230">
        <v>14016</v>
      </c>
      <c r="T28" s="231">
        <v>5.8</v>
      </c>
      <c r="U28" s="230">
        <v>8256</v>
      </c>
      <c r="V28" s="231">
        <v>2.6</v>
      </c>
      <c r="W28" s="230">
        <v>13478</v>
      </c>
      <c r="X28" s="231">
        <v>3.7</v>
      </c>
      <c r="Y28" s="230">
        <v>6890</v>
      </c>
      <c r="Z28" s="273">
        <v>2.9</v>
      </c>
    </row>
    <row r="29" spans="1:26" x14ac:dyDescent="0.2">
      <c r="A29" s="699"/>
      <c r="B29" s="272" t="s">
        <v>380</v>
      </c>
      <c r="C29" s="230">
        <v>0</v>
      </c>
      <c r="D29" s="231">
        <v>0</v>
      </c>
      <c r="E29" s="235">
        <v>0</v>
      </c>
      <c r="F29" s="273">
        <v>0</v>
      </c>
      <c r="G29" s="285">
        <v>0</v>
      </c>
      <c r="H29" s="231">
        <v>0</v>
      </c>
      <c r="I29" s="230">
        <v>0</v>
      </c>
      <c r="J29" s="273">
        <v>0</v>
      </c>
      <c r="K29" s="285">
        <v>0</v>
      </c>
      <c r="L29" s="231">
        <v>0</v>
      </c>
      <c r="M29" s="230">
        <v>0</v>
      </c>
      <c r="N29" s="231">
        <v>0</v>
      </c>
      <c r="O29" s="230">
        <v>0</v>
      </c>
      <c r="P29" s="231">
        <v>0</v>
      </c>
      <c r="Q29" s="230">
        <v>0</v>
      </c>
      <c r="R29" s="231">
        <v>0</v>
      </c>
      <c r="S29" s="230">
        <v>0</v>
      </c>
      <c r="T29" s="231">
        <v>0</v>
      </c>
      <c r="U29" s="230">
        <v>0</v>
      </c>
      <c r="V29" s="231">
        <v>0</v>
      </c>
      <c r="W29" s="230">
        <v>0</v>
      </c>
      <c r="X29" s="231">
        <v>0</v>
      </c>
      <c r="Y29" s="230">
        <v>0</v>
      </c>
      <c r="Z29" s="273">
        <v>0</v>
      </c>
    </row>
    <row r="30" spans="1:26" x14ac:dyDescent="0.2">
      <c r="A30" s="699"/>
      <c r="B30" s="272" t="s">
        <v>381</v>
      </c>
      <c r="C30" s="230">
        <v>0</v>
      </c>
      <c r="D30" s="231">
        <v>0</v>
      </c>
      <c r="E30" s="235">
        <v>0</v>
      </c>
      <c r="F30" s="273">
        <v>0</v>
      </c>
      <c r="G30" s="285">
        <v>0</v>
      </c>
      <c r="H30" s="231">
        <v>0</v>
      </c>
      <c r="I30" s="230">
        <v>20235</v>
      </c>
      <c r="J30" s="273">
        <v>5.6</v>
      </c>
      <c r="K30" s="285">
        <v>0</v>
      </c>
      <c r="L30" s="231">
        <v>0</v>
      </c>
      <c r="M30" s="230">
        <v>26017</v>
      </c>
      <c r="N30" s="231">
        <v>7.2</v>
      </c>
      <c r="O30" s="230">
        <v>51513</v>
      </c>
      <c r="P30" s="231">
        <v>14.3</v>
      </c>
      <c r="Q30" s="230">
        <v>0</v>
      </c>
      <c r="R30" s="231">
        <v>0</v>
      </c>
      <c r="S30" s="230">
        <v>22800</v>
      </c>
      <c r="T30" s="231">
        <v>9.5</v>
      </c>
      <c r="U30" s="230">
        <v>0</v>
      </c>
      <c r="V30" s="231">
        <v>0</v>
      </c>
      <c r="W30" s="230">
        <v>53219</v>
      </c>
      <c r="X30" s="231">
        <v>14.8</v>
      </c>
      <c r="Y30" s="230">
        <v>17590</v>
      </c>
      <c r="Z30" s="273">
        <v>7.3</v>
      </c>
    </row>
    <row r="31" spans="1:26" s="20" customFormat="1" x14ac:dyDescent="0.2">
      <c r="A31" s="699"/>
      <c r="B31" s="274" t="s">
        <v>382</v>
      </c>
      <c r="C31" s="275">
        <v>24205</v>
      </c>
      <c r="D31" s="276">
        <v>151.30000000000001</v>
      </c>
      <c r="E31" s="277">
        <v>128331</v>
      </c>
      <c r="F31" s="287">
        <v>142.6</v>
      </c>
      <c r="G31" s="286">
        <v>48186</v>
      </c>
      <c r="H31" s="276">
        <v>160.6</v>
      </c>
      <c r="I31" s="275">
        <v>507708</v>
      </c>
      <c r="J31" s="279">
        <v>141</v>
      </c>
      <c r="K31" s="286">
        <v>319996</v>
      </c>
      <c r="L31" s="276">
        <v>133.30000000000001</v>
      </c>
      <c r="M31" s="275">
        <v>563462</v>
      </c>
      <c r="N31" s="276">
        <v>156.5</v>
      </c>
      <c r="O31" s="275">
        <v>1163073</v>
      </c>
      <c r="P31" s="276">
        <v>323.10000000000002</v>
      </c>
      <c r="Q31" s="275">
        <v>647773</v>
      </c>
      <c r="R31" s="276">
        <v>269.89999999999998</v>
      </c>
      <c r="S31" s="275">
        <v>565850</v>
      </c>
      <c r="T31" s="276">
        <v>235.8</v>
      </c>
      <c r="U31" s="275">
        <v>586050</v>
      </c>
      <c r="V31" s="276">
        <v>183.1</v>
      </c>
      <c r="W31" s="275">
        <v>805996</v>
      </c>
      <c r="X31" s="276">
        <v>223.9</v>
      </c>
      <c r="Y31" s="275">
        <v>383047</v>
      </c>
      <c r="Z31" s="279">
        <v>159.6</v>
      </c>
    </row>
    <row r="32" spans="1:26" s="216" customFormat="1" x14ac:dyDescent="0.2">
      <c r="A32" s="699"/>
      <c r="B32" s="283" t="s">
        <v>491</v>
      </c>
      <c r="C32" s="289" t="s">
        <v>372</v>
      </c>
      <c r="D32" s="291" t="s">
        <v>397</v>
      </c>
      <c r="E32" s="289" t="s">
        <v>372</v>
      </c>
      <c r="F32" s="291" t="s">
        <v>397</v>
      </c>
      <c r="G32" s="289" t="s">
        <v>372</v>
      </c>
      <c r="H32" s="291" t="s">
        <v>397</v>
      </c>
      <c r="I32" s="289" t="s">
        <v>372</v>
      </c>
      <c r="J32" s="291" t="s">
        <v>397</v>
      </c>
      <c r="K32" s="289" t="s">
        <v>372</v>
      </c>
      <c r="L32" s="291" t="s">
        <v>397</v>
      </c>
      <c r="M32" s="289" t="s">
        <v>372</v>
      </c>
      <c r="N32" s="291" t="s">
        <v>397</v>
      </c>
      <c r="O32" s="289" t="s">
        <v>372</v>
      </c>
      <c r="P32" s="291" t="s">
        <v>397</v>
      </c>
      <c r="Q32" s="289" t="s">
        <v>372</v>
      </c>
      <c r="R32" s="291" t="s">
        <v>397</v>
      </c>
      <c r="S32" s="289" t="s">
        <v>372</v>
      </c>
      <c r="T32" s="291" t="s">
        <v>397</v>
      </c>
      <c r="U32" s="289" t="s">
        <v>372</v>
      </c>
      <c r="V32" s="291" t="s">
        <v>397</v>
      </c>
      <c r="W32" s="289" t="s">
        <v>372</v>
      </c>
      <c r="X32" s="291" t="s">
        <v>397</v>
      </c>
      <c r="Y32" s="289" t="s">
        <v>372</v>
      </c>
      <c r="Z32" s="291" t="s">
        <v>397</v>
      </c>
    </row>
    <row r="33" spans="1:26" x14ac:dyDescent="0.2">
      <c r="A33" s="699"/>
      <c r="B33" s="272" t="s">
        <v>373</v>
      </c>
      <c r="C33" s="230">
        <f t="shared" ref="C33:Z33" si="0">C$6-C22</f>
        <v>4681</v>
      </c>
      <c r="D33" s="293">
        <f t="shared" si="0"/>
        <v>29.300000000000011</v>
      </c>
      <c r="E33" s="230">
        <f t="shared" si="0"/>
        <v>15873</v>
      </c>
      <c r="F33" s="293">
        <f t="shared" si="0"/>
        <v>17.600000000000009</v>
      </c>
      <c r="G33" s="230">
        <f t="shared" si="0"/>
        <v>5346</v>
      </c>
      <c r="H33" s="293">
        <f t="shared" si="0"/>
        <v>17.800000000000011</v>
      </c>
      <c r="I33" s="230">
        <f t="shared" si="0"/>
        <v>43321</v>
      </c>
      <c r="J33" s="293">
        <f t="shared" si="0"/>
        <v>12</v>
      </c>
      <c r="K33" s="230">
        <f t="shared" si="0"/>
        <v>40959</v>
      </c>
      <c r="L33" s="293">
        <f t="shared" si="0"/>
        <v>17.100000000000001</v>
      </c>
      <c r="M33" s="230">
        <f>M$6-M22</f>
        <v>47202</v>
      </c>
      <c r="N33" s="293">
        <f t="shared" si="0"/>
        <v>13.100000000000001</v>
      </c>
      <c r="O33" s="230">
        <f t="shared" si="0"/>
        <v>57193</v>
      </c>
      <c r="P33" s="293">
        <f t="shared" si="0"/>
        <v>15.900000000000006</v>
      </c>
      <c r="Q33" s="230">
        <f t="shared" si="0"/>
        <v>28789</v>
      </c>
      <c r="R33" s="293">
        <f t="shared" si="0"/>
        <v>12.000000000000007</v>
      </c>
      <c r="S33" s="230">
        <f t="shared" si="0"/>
        <v>50286</v>
      </c>
      <c r="T33" s="293">
        <f t="shared" si="0"/>
        <v>20.899999999999991</v>
      </c>
      <c r="U33" s="230">
        <f t="shared" si="0"/>
        <v>98094</v>
      </c>
      <c r="V33" s="293">
        <f t="shared" si="0"/>
        <v>30.599999999999994</v>
      </c>
      <c r="W33" s="230">
        <f t="shared" si="0"/>
        <v>54638</v>
      </c>
      <c r="X33" s="293">
        <f t="shared" si="0"/>
        <v>15.099999999999994</v>
      </c>
      <c r="Y33" s="230">
        <f t="shared" si="0"/>
        <v>46262</v>
      </c>
      <c r="Z33" s="293">
        <f t="shared" si="0"/>
        <v>19.299999999999997</v>
      </c>
    </row>
    <row r="34" spans="1:26" x14ac:dyDescent="0.2">
      <c r="A34" s="699"/>
      <c r="B34" s="272" t="s">
        <v>374</v>
      </c>
      <c r="C34" s="230">
        <f t="shared" ref="C34:Z34" si="1">C$7-C23</f>
        <v>0</v>
      </c>
      <c r="D34" s="293">
        <f t="shared" si="1"/>
        <v>0</v>
      </c>
      <c r="E34" s="230">
        <f t="shared" si="1"/>
        <v>0</v>
      </c>
      <c r="F34" s="293">
        <f t="shared" si="1"/>
        <v>0</v>
      </c>
      <c r="G34" s="230">
        <f t="shared" si="1"/>
        <v>8</v>
      </c>
      <c r="H34" s="293">
        <f t="shared" si="1"/>
        <v>0</v>
      </c>
      <c r="I34" s="230">
        <f t="shared" si="1"/>
        <v>212</v>
      </c>
      <c r="J34" s="293">
        <f t="shared" si="1"/>
        <v>0</v>
      </c>
      <c r="K34" s="230">
        <f t="shared" si="1"/>
        <v>87</v>
      </c>
      <c r="L34" s="293">
        <f t="shared" si="1"/>
        <v>0</v>
      </c>
      <c r="M34" s="230">
        <f t="shared" si="1"/>
        <v>175</v>
      </c>
      <c r="N34" s="293">
        <f t="shared" si="1"/>
        <v>0.10000000000000142</v>
      </c>
      <c r="O34" s="230">
        <f t="shared" si="1"/>
        <v>1288</v>
      </c>
      <c r="P34" s="293">
        <f t="shared" si="1"/>
        <v>0.30000000000000071</v>
      </c>
      <c r="Q34" s="230">
        <f t="shared" si="1"/>
        <v>738</v>
      </c>
      <c r="R34" s="293">
        <f t="shared" si="1"/>
        <v>0.30000000000000071</v>
      </c>
      <c r="S34" s="230">
        <f t="shared" si="1"/>
        <v>56</v>
      </c>
      <c r="T34" s="293">
        <f t="shared" si="1"/>
        <v>9.9999999999999645E-2</v>
      </c>
      <c r="U34" s="230">
        <f t="shared" si="1"/>
        <v>829</v>
      </c>
      <c r="V34" s="293">
        <f t="shared" si="1"/>
        <v>0.20000000000000284</v>
      </c>
      <c r="W34" s="230">
        <f t="shared" si="1"/>
        <v>169</v>
      </c>
      <c r="X34" s="293">
        <f t="shared" si="1"/>
        <v>0.10000000000000142</v>
      </c>
      <c r="Y34" s="230">
        <f t="shared" si="1"/>
        <v>34</v>
      </c>
      <c r="Z34" s="293">
        <f t="shared" si="1"/>
        <v>0</v>
      </c>
    </row>
    <row r="35" spans="1:26" x14ac:dyDescent="0.2">
      <c r="A35" s="699"/>
      <c r="B35" s="272" t="s">
        <v>375</v>
      </c>
      <c r="C35" s="230">
        <f>C$8-C24</f>
        <v>0</v>
      </c>
      <c r="D35" s="293">
        <f t="shared" ref="D35:Z35" si="2">D$8-D24</f>
        <v>0</v>
      </c>
      <c r="E35" s="230">
        <f t="shared" si="2"/>
        <v>0</v>
      </c>
      <c r="F35" s="293">
        <f t="shared" si="2"/>
        <v>0</v>
      </c>
      <c r="G35" s="230">
        <f t="shared" si="2"/>
        <v>0</v>
      </c>
      <c r="H35" s="293">
        <f t="shared" si="2"/>
        <v>0</v>
      </c>
      <c r="I35" s="230">
        <f t="shared" si="2"/>
        <v>0</v>
      </c>
      <c r="J35" s="293">
        <f t="shared" si="2"/>
        <v>0</v>
      </c>
      <c r="K35" s="230">
        <f t="shared" si="2"/>
        <v>0</v>
      </c>
      <c r="L35" s="293">
        <f t="shared" si="2"/>
        <v>0</v>
      </c>
      <c r="M35" s="230">
        <f t="shared" si="2"/>
        <v>0</v>
      </c>
      <c r="N35" s="293">
        <f t="shared" si="2"/>
        <v>0</v>
      </c>
      <c r="O35" s="230">
        <f t="shared" si="2"/>
        <v>0</v>
      </c>
      <c r="P35" s="293">
        <f t="shared" si="2"/>
        <v>0</v>
      </c>
      <c r="Q35" s="230">
        <f t="shared" si="2"/>
        <v>0</v>
      </c>
      <c r="R35" s="293">
        <f t="shared" si="2"/>
        <v>0</v>
      </c>
      <c r="S35" s="230">
        <f t="shared" si="2"/>
        <v>0</v>
      </c>
      <c r="T35" s="293">
        <f t="shared" si="2"/>
        <v>0</v>
      </c>
      <c r="U35" s="230">
        <f t="shared" si="2"/>
        <v>0</v>
      </c>
      <c r="V35" s="293">
        <f t="shared" si="2"/>
        <v>0</v>
      </c>
      <c r="W35" s="230">
        <f t="shared" si="2"/>
        <v>0</v>
      </c>
      <c r="X35" s="293">
        <f t="shared" si="2"/>
        <v>0</v>
      </c>
      <c r="Y35" s="230">
        <f t="shared" si="2"/>
        <v>0</v>
      </c>
      <c r="Z35" s="293">
        <f t="shared" si="2"/>
        <v>0</v>
      </c>
    </row>
    <row r="36" spans="1:26" x14ac:dyDescent="0.2">
      <c r="A36" s="699"/>
      <c r="B36" s="272" t="s">
        <v>376</v>
      </c>
      <c r="C36" s="230">
        <f t="shared" ref="C36:Z36" si="3">C$9-C25</f>
        <v>0</v>
      </c>
      <c r="D36" s="293">
        <f t="shared" si="3"/>
        <v>0</v>
      </c>
      <c r="E36" s="230">
        <f t="shared" si="3"/>
        <v>0</v>
      </c>
      <c r="F36" s="293">
        <f t="shared" si="3"/>
        <v>0</v>
      </c>
      <c r="G36" s="230">
        <f t="shared" si="3"/>
        <v>0</v>
      </c>
      <c r="H36" s="293">
        <f t="shared" si="3"/>
        <v>0</v>
      </c>
      <c r="I36" s="230">
        <f t="shared" si="3"/>
        <v>0</v>
      </c>
      <c r="J36" s="293">
        <f t="shared" si="3"/>
        <v>0</v>
      </c>
      <c r="K36" s="230">
        <f t="shared" si="3"/>
        <v>0</v>
      </c>
      <c r="L36" s="293">
        <f t="shared" si="3"/>
        <v>0</v>
      </c>
      <c r="M36" s="230">
        <f t="shared" si="3"/>
        <v>0</v>
      </c>
      <c r="N36" s="293">
        <f t="shared" si="3"/>
        <v>0</v>
      </c>
      <c r="O36" s="230">
        <f t="shared" si="3"/>
        <v>0</v>
      </c>
      <c r="P36" s="293">
        <f t="shared" si="3"/>
        <v>0</v>
      </c>
      <c r="Q36" s="230">
        <f t="shared" si="3"/>
        <v>0</v>
      </c>
      <c r="R36" s="293">
        <f t="shared" si="3"/>
        <v>0</v>
      </c>
      <c r="S36" s="230">
        <f t="shared" si="3"/>
        <v>0</v>
      </c>
      <c r="T36" s="293">
        <f t="shared" si="3"/>
        <v>0</v>
      </c>
      <c r="U36" s="230">
        <f t="shared" si="3"/>
        <v>0</v>
      </c>
      <c r="V36" s="293">
        <f t="shared" si="3"/>
        <v>0</v>
      </c>
      <c r="W36" s="230">
        <f t="shared" si="3"/>
        <v>0</v>
      </c>
      <c r="X36" s="293">
        <f t="shared" si="3"/>
        <v>0</v>
      </c>
      <c r="Y36" s="230">
        <f t="shared" si="3"/>
        <v>0</v>
      </c>
      <c r="Z36" s="293">
        <f t="shared" si="3"/>
        <v>0</v>
      </c>
    </row>
    <row r="37" spans="1:26" x14ac:dyDescent="0.2">
      <c r="A37" s="699"/>
      <c r="B37" s="272" t="s">
        <v>377</v>
      </c>
      <c r="C37" s="230">
        <f t="shared" ref="C37:Z37" si="4">C$10-C26</f>
        <v>17</v>
      </c>
      <c r="D37" s="293">
        <f t="shared" si="4"/>
        <v>9.9999999999999978E-2</v>
      </c>
      <c r="E37" s="230">
        <f t="shared" si="4"/>
        <v>57</v>
      </c>
      <c r="F37" s="293">
        <f t="shared" si="4"/>
        <v>9.9999999999999978E-2</v>
      </c>
      <c r="G37" s="230">
        <f t="shared" si="4"/>
        <v>21</v>
      </c>
      <c r="H37" s="293">
        <f t="shared" si="4"/>
        <v>0.10000000000000009</v>
      </c>
      <c r="I37" s="230">
        <f t="shared" si="4"/>
        <v>360</v>
      </c>
      <c r="J37" s="293">
        <f t="shared" si="4"/>
        <v>0.10000000000000009</v>
      </c>
      <c r="K37" s="230">
        <f t="shared" si="4"/>
        <v>161</v>
      </c>
      <c r="L37" s="293">
        <f t="shared" si="4"/>
        <v>9.9999999999999978E-2</v>
      </c>
      <c r="M37" s="230">
        <f t="shared" si="4"/>
        <v>181</v>
      </c>
      <c r="N37" s="293">
        <f t="shared" si="4"/>
        <v>0.10000000000000009</v>
      </c>
      <c r="O37" s="230">
        <f t="shared" si="4"/>
        <v>165</v>
      </c>
      <c r="P37" s="293">
        <f t="shared" si="4"/>
        <v>0</v>
      </c>
      <c r="Q37" s="230">
        <f t="shared" si="4"/>
        <v>113</v>
      </c>
      <c r="R37" s="293">
        <f t="shared" si="4"/>
        <v>0.10000000000000009</v>
      </c>
      <c r="S37" s="230">
        <f t="shared" si="4"/>
        <v>173</v>
      </c>
      <c r="T37" s="293">
        <f t="shared" si="4"/>
        <v>0</v>
      </c>
      <c r="U37" s="230">
        <f t="shared" si="4"/>
        <v>427</v>
      </c>
      <c r="V37" s="293">
        <f t="shared" si="4"/>
        <v>9.9999999999999978E-2</v>
      </c>
      <c r="W37" s="230">
        <f t="shared" si="4"/>
        <v>295</v>
      </c>
      <c r="X37" s="293">
        <f t="shared" si="4"/>
        <v>9.9999999999999645E-2</v>
      </c>
      <c r="Y37" s="230">
        <f t="shared" si="4"/>
        <v>163</v>
      </c>
      <c r="Z37" s="293">
        <f t="shared" si="4"/>
        <v>0</v>
      </c>
    </row>
    <row r="38" spans="1:26" x14ac:dyDescent="0.2">
      <c r="A38" s="699"/>
      <c r="B38" s="272" t="s">
        <v>378</v>
      </c>
      <c r="C38" s="230">
        <f t="shared" ref="C38:Z38" si="5">C$11-C27</f>
        <v>0</v>
      </c>
      <c r="D38" s="293">
        <f t="shared" si="5"/>
        <v>0</v>
      </c>
      <c r="E38" s="230">
        <f t="shared" si="5"/>
        <v>0</v>
      </c>
      <c r="F38" s="293">
        <f t="shared" si="5"/>
        <v>0</v>
      </c>
      <c r="G38" s="230">
        <f t="shared" si="5"/>
        <v>0</v>
      </c>
      <c r="H38" s="293">
        <f t="shared" si="5"/>
        <v>0</v>
      </c>
      <c r="I38" s="230">
        <f t="shared" si="5"/>
        <v>0</v>
      </c>
      <c r="J38" s="293">
        <f t="shared" si="5"/>
        <v>0</v>
      </c>
      <c r="K38" s="230">
        <f t="shared" si="5"/>
        <v>0</v>
      </c>
      <c r="L38" s="293">
        <f t="shared" si="5"/>
        <v>0</v>
      </c>
      <c r="M38" s="230">
        <f t="shared" si="5"/>
        <v>0</v>
      </c>
      <c r="N38" s="293">
        <f t="shared" si="5"/>
        <v>0</v>
      </c>
      <c r="O38" s="230">
        <f t="shared" si="5"/>
        <v>0</v>
      </c>
      <c r="P38" s="293">
        <f t="shared" si="5"/>
        <v>0</v>
      </c>
      <c r="Q38" s="230">
        <f t="shared" si="5"/>
        <v>0</v>
      </c>
      <c r="R38" s="293">
        <f t="shared" si="5"/>
        <v>0</v>
      </c>
      <c r="S38" s="230">
        <f t="shared" si="5"/>
        <v>0</v>
      </c>
      <c r="T38" s="293">
        <f t="shared" si="5"/>
        <v>0</v>
      </c>
      <c r="U38" s="230">
        <f t="shared" si="5"/>
        <v>0</v>
      </c>
      <c r="V38" s="293">
        <f t="shared" si="5"/>
        <v>0</v>
      </c>
      <c r="W38" s="230">
        <f t="shared" si="5"/>
        <v>0</v>
      </c>
      <c r="X38" s="293">
        <f t="shared" si="5"/>
        <v>0</v>
      </c>
      <c r="Y38" s="230">
        <f t="shared" si="5"/>
        <v>0</v>
      </c>
      <c r="Z38" s="293">
        <f t="shared" si="5"/>
        <v>0</v>
      </c>
    </row>
    <row r="39" spans="1:26" x14ac:dyDescent="0.2">
      <c r="A39" s="699"/>
      <c r="B39" s="272" t="s">
        <v>379</v>
      </c>
      <c r="C39" s="230">
        <f t="shared" ref="C39:Z39" si="6">C$12-C28</f>
        <v>0</v>
      </c>
      <c r="D39" s="293">
        <f t="shared" si="6"/>
        <v>0</v>
      </c>
      <c r="E39" s="230">
        <f t="shared" si="6"/>
        <v>0</v>
      </c>
      <c r="F39" s="293">
        <f t="shared" si="6"/>
        <v>0</v>
      </c>
      <c r="G39" s="230">
        <f t="shared" si="6"/>
        <v>0</v>
      </c>
      <c r="H39" s="293">
        <f t="shared" si="6"/>
        <v>0</v>
      </c>
      <c r="I39" s="230">
        <f t="shared" si="6"/>
        <v>0</v>
      </c>
      <c r="J39" s="293">
        <f t="shared" si="6"/>
        <v>0</v>
      </c>
      <c r="K39" s="230">
        <f t="shared" si="6"/>
        <v>0</v>
      </c>
      <c r="L39" s="293">
        <f t="shared" si="6"/>
        <v>0</v>
      </c>
      <c r="M39" s="230">
        <f t="shared" si="6"/>
        <v>0</v>
      </c>
      <c r="N39" s="293">
        <f t="shared" si="6"/>
        <v>0</v>
      </c>
      <c r="O39" s="230">
        <f t="shared" si="6"/>
        <v>0</v>
      </c>
      <c r="P39" s="293">
        <f t="shared" si="6"/>
        <v>0</v>
      </c>
      <c r="Q39" s="230">
        <f t="shared" si="6"/>
        <v>0</v>
      </c>
      <c r="R39" s="293">
        <f t="shared" si="6"/>
        <v>0</v>
      </c>
      <c r="S39" s="230">
        <f t="shared" si="6"/>
        <v>0</v>
      </c>
      <c r="T39" s="293">
        <f t="shared" si="6"/>
        <v>0</v>
      </c>
      <c r="U39" s="230">
        <f t="shared" si="6"/>
        <v>0</v>
      </c>
      <c r="V39" s="293">
        <f t="shared" si="6"/>
        <v>0</v>
      </c>
      <c r="W39" s="230">
        <f t="shared" si="6"/>
        <v>0</v>
      </c>
      <c r="X39" s="293">
        <f t="shared" si="6"/>
        <v>0</v>
      </c>
      <c r="Y39" s="230">
        <f t="shared" si="6"/>
        <v>0</v>
      </c>
      <c r="Z39" s="293">
        <f t="shared" si="6"/>
        <v>0</v>
      </c>
    </row>
    <row r="40" spans="1:26" x14ac:dyDescent="0.2">
      <c r="A40" s="699"/>
      <c r="B40" s="272" t="s">
        <v>380</v>
      </c>
      <c r="C40" s="230">
        <f t="shared" ref="C40:Z40" si="7">C$13-C29</f>
        <v>0</v>
      </c>
      <c r="D40" s="293">
        <f t="shared" si="7"/>
        <v>0</v>
      </c>
      <c r="E40" s="230">
        <f t="shared" si="7"/>
        <v>0</v>
      </c>
      <c r="F40" s="293">
        <f t="shared" si="7"/>
        <v>0</v>
      </c>
      <c r="G40" s="230">
        <f t="shared" si="7"/>
        <v>0</v>
      </c>
      <c r="H40" s="293">
        <f t="shared" si="7"/>
        <v>0</v>
      </c>
      <c r="I40" s="230">
        <f t="shared" si="7"/>
        <v>0</v>
      </c>
      <c r="J40" s="293">
        <f t="shared" si="7"/>
        <v>0</v>
      </c>
      <c r="K40" s="230">
        <f t="shared" si="7"/>
        <v>0</v>
      </c>
      <c r="L40" s="293">
        <f t="shared" si="7"/>
        <v>0</v>
      </c>
      <c r="M40" s="230">
        <f t="shared" si="7"/>
        <v>0</v>
      </c>
      <c r="N40" s="293">
        <f t="shared" si="7"/>
        <v>0</v>
      </c>
      <c r="O40" s="230">
        <f t="shared" si="7"/>
        <v>0</v>
      </c>
      <c r="P40" s="293">
        <f t="shared" si="7"/>
        <v>0</v>
      </c>
      <c r="Q40" s="230">
        <f t="shared" si="7"/>
        <v>0</v>
      </c>
      <c r="R40" s="293">
        <f t="shared" si="7"/>
        <v>0</v>
      </c>
      <c r="S40" s="230">
        <f t="shared" si="7"/>
        <v>0</v>
      </c>
      <c r="T40" s="293">
        <f t="shared" si="7"/>
        <v>0</v>
      </c>
      <c r="U40" s="230">
        <f t="shared" si="7"/>
        <v>0</v>
      </c>
      <c r="V40" s="293">
        <f t="shared" si="7"/>
        <v>0</v>
      </c>
      <c r="W40" s="230">
        <f t="shared" si="7"/>
        <v>0</v>
      </c>
      <c r="X40" s="293">
        <f t="shared" si="7"/>
        <v>0</v>
      </c>
      <c r="Y40" s="230">
        <f t="shared" si="7"/>
        <v>0</v>
      </c>
      <c r="Z40" s="293">
        <f t="shared" si="7"/>
        <v>0</v>
      </c>
    </row>
    <row r="41" spans="1:26" x14ac:dyDescent="0.2">
      <c r="A41" s="699"/>
      <c r="B41" s="272" t="s">
        <v>381</v>
      </c>
      <c r="C41" s="230">
        <f t="shared" ref="C41:Z41" si="8">C$14-C30</f>
        <v>0</v>
      </c>
      <c r="D41" s="293">
        <f t="shared" si="8"/>
        <v>0</v>
      </c>
      <c r="E41" s="230">
        <f t="shared" si="8"/>
        <v>0</v>
      </c>
      <c r="F41" s="293">
        <f t="shared" si="8"/>
        <v>0</v>
      </c>
      <c r="G41" s="230">
        <f t="shared" si="8"/>
        <v>0</v>
      </c>
      <c r="H41" s="293">
        <f t="shared" si="8"/>
        <v>0</v>
      </c>
      <c r="I41" s="230">
        <f t="shared" si="8"/>
        <v>0</v>
      </c>
      <c r="J41" s="293">
        <f t="shared" si="8"/>
        <v>0</v>
      </c>
      <c r="K41" s="230">
        <f t="shared" si="8"/>
        <v>0</v>
      </c>
      <c r="L41" s="293">
        <f t="shared" si="8"/>
        <v>0</v>
      </c>
      <c r="M41" s="230">
        <f t="shared" si="8"/>
        <v>0</v>
      </c>
      <c r="N41" s="293">
        <f t="shared" si="8"/>
        <v>0</v>
      </c>
      <c r="O41" s="230">
        <f t="shared" si="8"/>
        <v>0</v>
      </c>
      <c r="P41" s="293">
        <f t="shared" si="8"/>
        <v>0</v>
      </c>
      <c r="Q41" s="230">
        <f t="shared" si="8"/>
        <v>0</v>
      </c>
      <c r="R41" s="293">
        <f t="shared" si="8"/>
        <v>0</v>
      </c>
      <c r="S41" s="230">
        <f t="shared" si="8"/>
        <v>0</v>
      </c>
      <c r="T41" s="293">
        <f t="shared" si="8"/>
        <v>0</v>
      </c>
      <c r="U41" s="230">
        <f t="shared" si="8"/>
        <v>0</v>
      </c>
      <c r="V41" s="293">
        <f t="shared" si="8"/>
        <v>0</v>
      </c>
      <c r="W41" s="230">
        <f t="shared" si="8"/>
        <v>0</v>
      </c>
      <c r="X41" s="293">
        <f t="shared" si="8"/>
        <v>0</v>
      </c>
      <c r="Y41" s="230">
        <f t="shared" si="8"/>
        <v>0</v>
      </c>
      <c r="Z41" s="293">
        <f t="shared" si="8"/>
        <v>0</v>
      </c>
    </row>
    <row r="42" spans="1:26" s="20" customFormat="1" x14ac:dyDescent="0.2">
      <c r="A42" s="700"/>
      <c r="B42" s="274" t="s">
        <v>382</v>
      </c>
      <c r="C42" s="275">
        <f t="shared" ref="C42:Z42" si="9">C$15-C31</f>
        <v>4697</v>
      </c>
      <c r="D42" s="294">
        <f t="shared" si="9"/>
        <v>29.299999999999983</v>
      </c>
      <c r="E42" s="275">
        <f t="shared" si="9"/>
        <v>15929</v>
      </c>
      <c r="F42" s="294">
        <f t="shared" si="9"/>
        <v>17.700000000000017</v>
      </c>
      <c r="G42" s="275">
        <f t="shared" si="9"/>
        <v>5374</v>
      </c>
      <c r="H42" s="294">
        <f t="shared" si="9"/>
        <v>17.900000000000006</v>
      </c>
      <c r="I42" s="275">
        <f t="shared" si="9"/>
        <v>43893</v>
      </c>
      <c r="J42" s="294">
        <f t="shared" si="9"/>
        <v>12.199999999999989</v>
      </c>
      <c r="K42" s="275">
        <f t="shared" si="9"/>
        <v>41207</v>
      </c>
      <c r="L42" s="294">
        <f t="shared" si="9"/>
        <v>17.199999999999989</v>
      </c>
      <c r="M42" s="275">
        <f t="shared" si="9"/>
        <v>47558</v>
      </c>
      <c r="N42" s="294">
        <f t="shared" si="9"/>
        <v>13.199999999999989</v>
      </c>
      <c r="O42" s="275">
        <f t="shared" si="9"/>
        <v>58644</v>
      </c>
      <c r="P42" s="294">
        <f t="shared" si="9"/>
        <v>16.299999999999955</v>
      </c>
      <c r="Q42" s="275">
        <f t="shared" si="9"/>
        <v>29639</v>
      </c>
      <c r="R42" s="294">
        <f t="shared" si="9"/>
        <v>12.400000000000034</v>
      </c>
      <c r="S42" s="275">
        <f t="shared" si="9"/>
        <v>50515</v>
      </c>
      <c r="T42" s="294">
        <f t="shared" si="9"/>
        <v>21</v>
      </c>
      <c r="U42" s="275">
        <f t="shared" si="9"/>
        <v>99350</v>
      </c>
      <c r="V42" s="294">
        <f t="shared" si="9"/>
        <v>31.099999999999994</v>
      </c>
      <c r="W42" s="275">
        <f t="shared" si="9"/>
        <v>55103</v>
      </c>
      <c r="X42" s="294">
        <f t="shared" si="9"/>
        <v>15.299999999999983</v>
      </c>
      <c r="Y42" s="275">
        <f t="shared" si="9"/>
        <v>46458</v>
      </c>
      <c r="Z42" s="294">
        <f t="shared" si="9"/>
        <v>19.400000000000006</v>
      </c>
    </row>
    <row r="43" spans="1:26" s="20" customFormat="1" x14ac:dyDescent="0.2">
      <c r="A43" s="266"/>
      <c r="B43" s="227"/>
      <c r="C43" s="267"/>
      <c r="D43" s="232"/>
      <c r="E43" s="268"/>
      <c r="F43" s="237"/>
      <c r="G43" s="267"/>
      <c r="H43" s="232"/>
      <c r="I43" s="267"/>
      <c r="J43" s="232"/>
      <c r="K43" s="267"/>
      <c r="L43" s="232"/>
      <c r="M43" s="267"/>
      <c r="N43" s="232"/>
      <c r="O43" s="267"/>
      <c r="P43" s="232"/>
      <c r="Q43" s="267"/>
      <c r="R43" s="232"/>
      <c r="S43" s="267"/>
      <c r="T43" s="232"/>
      <c r="U43" s="267"/>
      <c r="V43" s="232"/>
      <c r="W43" s="267"/>
      <c r="X43" s="232"/>
      <c r="Y43" s="267"/>
      <c r="Z43" s="232"/>
    </row>
    <row r="44" spans="1:26" s="202" customFormat="1" x14ac:dyDescent="0.2">
      <c r="A44" s="698" t="s">
        <v>509</v>
      </c>
      <c r="B44" s="269" t="s">
        <v>488</v>
      </c>
      <c r="C44" s="304" t="s">
        <v>486</v>
      </c>
      <c r="D44" s="280" t="s">
        <v>487</v>
      </c>
      <c r="E44" s="304" t="s">
        <v>486</v>
      </c>
      <c r="F44" s="280" t="s">
        <v>487</v>
      </c>
      <c r="G44" s="304" t="s">
        <v>486</v>
      </c>
      <c r="H44" s="280" t="s">
        <v>487</v>
      </c>
      <c r="I44" s="304" t="s">
        <v>486</v>
      </c>
      <c r="J44" s="280" t="s">
        <v>487</v>
      </c>
      <c r="K44" s="304" t="s">
        <v>486</v>
      </c>
      <c r="L44" s="280" t="s">
        <v>487</v>
      </c>
      <c r="M44" s="304" t="s">
        <v>486</v>
      </c>
      <c r="N44" s="280" t="s">
        <v>487</v>
      </c>
      <c r="O44" s="304" t="s">
        <v>486</v>
      </c>
      <c r="P44" s="280" t="s">
        <v>487</v>
      </c>
      <c r="Q44" s="304" t="s">
        <v>486</v>
      </c>
      <c r="R44" s="280" t="s">
        <v>487</v>
      </c>
      <c r="S44" s="304" t="s">
        <v>486</v>
      </c>
      <c r="T44" s="280" t="s">
        <v>487</v>
      </c>
      <c r="U44" s="304" t="s">
        <v>486</v>
      </c>
      <c r="V44" s="280" t="s">
        <v>487</v>
      </c>
      <c r="W44" s="304" t="s">
        <v>486</v>
      </c>
      <c r="X44" s="280" t="s">
        <v>487</v>
      </c>
      <c r="Y44" s="304" t="s">
        <v>486</v>
      </c>
      <c r="Z44" s="314" t="s">
        <v>487</v>
      </c>
    </row>
    <row r="45" spans="1:26" x14ac:dyDescent="0.2">
      <c r="A45" s="699"/>
      <c r="B45" s="144" t="s">
        <v>262</v>
      </c>
      <c r="C45" s="305">
        <f>'6 Oversikt startpunkt'!B10</f>
        <v>0.18</v>
      </c>
      <c r="D45" s="270">
        <f>'7 Passivhusnivå'!C29</f>
        <v>0.08</v>
      </c>
      <c r="E45" s="305">
        <f>'6 Oversikt startpunkt'!C10</f>
        <v>0.2</v>
      </c>
      <c r="F45" s="270">
        <f>'7 Passivhusnivå'!D29</f>
        <v>0.1</v>
      </c>
      <c r="G45" s="305">
        <f>'6 Oversikt startpunkt'!D10</f>
        <v>0.2</v>
      </c>
      <c r="H45" s="270">
        <f>'7 Passivhusnivå'!F29</f>
        <v>0.1</v>
      </c>
      <c r="I45" s="305">
        <f>'6 Oversikt startpunkt'!E10</f>
        <v>0.2</v>
      </c>
      <c r="J45" s="270">
        <f>'7 Passivhusnivå'!G29</f>
        <v>0.13</v>
      </c>
      <c r="K45" s="243">
        <f>'6 Oversikt startpunkt'!F10</f>
        <v>0.2</v>
      </c>
      <c r="L45" s="312">
        <f>'7 Passivhusnivå'!H29</f>
        <v>0.13</v>
      </c>
      <c r="M45" s="271">
        <f>'6 Oversikt startpunkt'!G10</f>
        <v>0.2</v>
      </c>
      <c r="N45" s="270">
        <f>'7 Passivhusnivå'!I29</f>
        <v>0.13</v>
      </c>
      <c r="O45" s="243">
        <f>'6 Oversikt startpunkt'!H10</f>
        <v>0.2</v>
      </c>
      <c r="P45" s="312">
        <f>'7 Passivhusnivå'!J29</f>
        <v>0.13</v>
      </c>
      <c r="Q45" s="271">
        <f>'6 Oversikt startpunkt'!I10</f>
        <v>0.2</v>
      </c>
      <c r="R45" s="270">
        <f>'7 Passivhusnivå'!K29</f>
        <v>0.13</v>
      </c>
      <c r="S45" s="243">
        <f>'6 Oversikt startpunkt'!J10</f>
        <v>0.2</v>
      </c>
      <c r="T45" s="312">
        <f>'7 Passivhusnivå'!L29</f>
        <v>0.1</v>
      </c>
      <c r="U45" s="271">
        <f>'6 Oversikt startpunkt'!K10</f>
        <v>0.2</v>
      </c>
      <c r="V45" s="270">
        <f>'7 Passivhusnivå'!M29</f>
        <v>0.08</v>
      </c>
      <c r="W45" s="243">
        <f>'6 Oversikt startpunkt'!L10</f>
        <v>0.2</v>
      </c>
      <c r="X45" s="312">
        <f>'7 Passivhusnivå'!N29</f>
        <v>0.13</v>
      </c>
      <c r="Y45" s="243">
        <f>'6 Oversikt startpunkt'!M10</f>
        <v>0.2</v>
      </c>
      <c r="Z45" s="312">
        <f>'7 Passivhusnivå'!O29</f>
        <v>0.13</v>
      </c>
    </row>
    <row r="46" spans="1:26" s="216" customFormat="1" x14ac:dyDescent="0.2">
      <c r="A46" s="699"/>
      <c r="B46" s="288" t="s">
        <v>490</v>
      </c>
      <c r="C46" s="289" t="s">
        <v>372</v>
      </c>
      <c r="D46" s="290" t="s">
        <v>397</v>
      </c>
      <c r="E46" s="289" t="s">
        <v>372</v>
      </c>
      <c r="F46" s="291" t="s">
        <v>397</v>
      </c>
      <c r="G46" s="292" t="s">
        <v>372</v>
      </c>
      <c r="H46" s="290" t="s">
        <v>397</v>
      </c>
      <c r="I46" s="289" t="s">
        <v>372</v>
      </c>
      <c r="J46" s="291" t="s">
        <v>397</v>
      </c>
      <c r="K46" s="292" t="s">
        <v>372</v>
      </c>
      <c r="L46" s="290" t="s">
        <v>397</v>
      </c>
      <c r="M46" s="289" t="s">
        <v>372</v>
      </c>
      <c r="N46" s="290" t="s">
        <v>397</v>
      </c>
      <c r="O46" s="289" t="s">
        <v>372</v>
      </c>
      <c r="P46" s="290" t="s">
        <v>397</v>
      </c>
      <c r="Q46" s="289" t="s">
        <v>372</v>
      </c>
      <c r="R46" s="290" t="s">
        <v>397</v>
      </c>
      <c r="S46" s="289" t="s">
        <v>372</v>
      </c>
      <c r="T46" s="290" t="s">
        <v>397</v>
      </c>
      <c r="U46" s="289" t="s">
        <v>372</v>
      </c>
      <c r="V46" s="290" t="s">
        <v>397</v>
      </c>
      <c r="W46" s="289" t="s">
        <v>372</v>
      </c>
      <c r="X46" s="290" t="s">
        <v>397</v>
      </c>
      <c r="Y46" s="289" t="s">
        <v>372</v>
      </c>
      <c r="Z46" s="291" t="s">
        <v>397</v>
      </c>
    </row>
    <row r="47" spans="1:26" x14ac:dyDescent="0.2">
      <c r="A47" s="699"/>
      <c r="B47" s="272" t="s">
        <v>373</v>
      </c>
      <c r="C47" s="230">
        <v>17532</v>
      </c>
      <c r="D47" s="231">
        <v>109.6</v>
      </c>
      <c r="E47" s="230">
        <v>81272</v>
      </c>
      <c r="F47" s="273">
        <v>90.3</v>
      </c>
      <c r="G47" s="285">
        <v>28180</v>
      </c>
      <c r="H47" s="231">
        <v>93.9</v>
      </c>
      <c r="I47" s="230">
        <v>143492</v>
      </c>
      <c r="J47" s="273">
        <v>39.9</v>
      </c>
      <c r="K47" s="285">
        <v>143426</v>
      </c>
      <c r="L47" s="231">
        <v>59.8</v>
      </c>
      <c r="M47" s="230">
        <v>159781</v>
      </c>
      <c r="N47" s="231">
        <v>44.4</v>
      </c>
      <c r="O47" s="230">
        <v>281780</v>
      </c>
      <c r="P47" s="231">
        <v>78.3</v>
      </c>
      <c r="Q47" s="230">
        <v>170759</v>
      </c>
      <c r="R47" s="231">
        <v>71.099999999999994</v>
      </c>
      <c r="S47" s="230">
        <v>203376</v>
      </c>
      <c r="T47" s="231">
        <v>84.7</v>
      </c>
      <c r="U47" s="230">
        <v>268413</v>
      </c>
      <c r="V47" s="231">
        <v>83.9</v>
      </c>
      <c r="W47" s="230">
        <v>208093</v>
      </c>
      <c r="X47" s="231">
        <v>57.8</v>
      </c>
      <c r="Y47" s="230">
        <v>212521</v>
      </c>
      <c r="Z47" s="273">
        <v>88.6</v>
      </c>
    </row>
    <row r="48" spans="1:26" x14ac:dyDescent="0.2">
      <c r="A48" s="699"/>
      <c r="B48" s="272" t="s">
        <v>374</v>
      </c>
      <c r="C48" s="230">
        <v>0</v>
      </c>
      <c r="D48" s="231">
        <v>0</v>
      </c>
      <c r="E48" s="230">
        <v>0</v>
      </c>
      <c r="F48" s="273">
        <v>0</v>
      </c>
      <c r="G48" s="285">
        <v>1979</v>
      </c>
      <c r="H48" s="231">
        <v>6.6</v>
      </c>
      <c r="I48" s="230">
        <v>24195</v>
      </c>
      <c r="J48" s="273">
        <v>6.7</v>
      </c>
      <c r="K48" s="285">
        <v>19913</v>
      </c>
      <c r="L48" s="231">
        <v>8.3000000000000007</v>
      </c>
      <c r="M48" s="230">
        <v>31591</v>
      </c>
      <c r="N48" s="231">
        <v>8.8000000000000007</v>
      </c>
      <c r="O48" s="230">
        <v>89997</v>
      </c>
      <c r="P48" s="231">
        <v>25</v>
      </c>
      <c r="Q48" s="230">
        <v>56384</v>
      </c>
      <c r="R48" s="231">
        <v>23.5</v>
      </c>
      <c r="S48" s="230">
        <v>28960</v>
      </c>
      <c r="T48" s="231">
        <v>12.1</v>
      </c>
      <c r="U48" s="230">
        <v>53061</v>
      </c>
      <c r="V48" s="231">
        <v>16.600000000000001</v>
      </c>
      <c r="W48" s="230">
        <v>51332</v>
      </c>
      <c r="X48" s="231">
        <v>14.3</v>
      </c>
      <c r="Y48" s="230">
        <v>15464</v>
      </c>
      <c r="Z48" s="273">
        <v>6.4</v>
      </c>
    </row>
    <row r="49" spans="1:26" x14ac:dyDescent="0.2">
      <c r="A49" s="699"/>
      <c r="B49" s="272" t="s">
        <v>375</v>
      </c>
      <c r="C49" s="230">
        <v>4765</v>
      </c>
      <c r="D49" s="231">
        <v>29.8</v>
      </c>
      <c r="E49" s="230">
        <v>26792</v>
      </c>
      <c r="F49" s="273">
        <v>29.8</v>
      </c>
      <c r="G49" s="285">
        <v>3007</v>
      </c>
      <c r="H49" s="231">
        <v>10</v>
      </c>
      <c r="I49" s="230">
        <v>18040</v>
      </c>
      <c r="J49" s="273">
        <v>5</v>
      </c>
      <c r="K49" s="285">
        <v>23530</v>
      </c>
      <c r="L49" s="231">
        <v>9.8000000000000007</v>
      </c>
      <c r="M49" s="230">
        <v>18040</v>
      </c>
      <c r="N49" s="231">
        <v>5</v>
      </c>
      <c r="O49" s="230">
        <v>107170</v>
      </c>
      <c r="P49" s="231">
        <v>29.8</v>
      </c>
      <c r="Q49" s="230">
        <v>71482</v>
      </c>
      <c r="R49" s="231">
        <v>29.8</v>
      </c>
      <c r="S49" s="230">
        <v>71482</v>
      </c>
      <c r="T49" s="231">
        <v>29.8</v>
      </c>
      <c r="U49" s="230">
        <v>156864</v>
      </c>
      <c r="V49" s="231">
        <v>49</v>
      </c>
      <c r="W49" s="230">
        <v>36408</v>
      </c>
      <c r="X49" s="231">
        <v>10.1</v>
      </c>
      <c r="Y49" s="230">
        <v>24054</v>
      </c>
      <c r="Z49" s="273">
        <v>10</v>
      </c>
    </row>
    <row r="50" spans="1:26" x14ac:dyDescent="0.2">
      <c r="A50" s="699"/>
      <c r="B50" s="272" t="s">
        <v>376</v>
      </c>
      <c r="C50" s="230">
        <v>935</v>
      </c>
      <c r="D50" s="231">
        <v>5.8</v>
      </c>
      <c r="E50" s="230">
        <v>6570</v>
      </c>
      <c r="F50" s="273">
        <v>7.3</v>
      </c>
      <c r="G50" s="285">
        <v>7830</v>
      </c>
      <c r="H50" s="231">
        <v>26.1</v>
      </c>
      <c r="I50" s="230">
        <v>93974</v>
      </c>
      <c r="J50" s="273">
        <v>26.1</v>
      </c>
      <c r="K50" s="285">
        <v>68800</v>
      </c>
      <c r="L50" s="231">
        <v>28.7</v>
      </c>
      <c r="M50" s="230">
        <v>122166</v>
      </c>
      <c r="N50" s="231">
        <v>33.9</v>
      </c>
      <c r="O50" s="230">
        <v>292652</v>
      </c>
      <c r="P50" s="231">
        <v>81.3</v>
      </c>
      <c r="Q50" s="230">
        <v>171598</v>
      </c>
      <c r="R50" s="231">
        <v>71.5</v>
      </c>
      <c r="S50" s="230">
        <v>116800</v>
      </c>
      <c r="T50" s="231">
        <v>48.7</v>
      </c>
      <c r="U50" s="230">
        <v>82560</v>
      </c>
      <c r="V50" s="231">
        <v>25.8</v>
      </c>
      <c r="W50" s="230">
        <v>224688</v>
      </c>
      <c r="X50" s="231">
        <v>62.4</v>
      </c>
      <c r="Y50" s="230">
        <v>68904</v>
      </c>
      <c r="Z50" s="273">
        <v>28.7</v>
      </c>
    </row>
    <row r="51" spans="1:26" x14ac:dyDescent="0.2">
      <c r="A51" s="699"/>
      <c r="B51" s="272" t="s">
        <v>377</v>
      </c>
      <c r="C51" s="230">
        <v>116</v>
      </c>
      <c r="D51" s="231">
        <v>0.7</v>
      </c>
      <c r="E51" s="230">
        <v>510</v>
      </c>
      <c r="F51" s="273">
        <v>0.6</v>
      </c>
      <c r="G51" s="285">
        <v>311</v>
      </c>
      <c r="H51" s="231">
        <v>1</v>
      </c>
      <c r="I51" s="230">
        <v>7413</v>
      </c>
      <c r="J51" s="273">
        <v>2.1</v>
      </c>
      <c r="K51" s="285">
        <v>2091</v>
      </c>
      <c r="L51" s="231">
        <v>0.9</v>
      </c>
      <c r="M51" s="230">
        <v>8570</v>
      </c>
      <c r="N51" s="231">
        <v>2.4</v>
      </c>
      <c r="O51" s="230">
        <v>10449</v>
      </c>
      <c r="P51" s="231">
        <v>2.9</v>
      </c>
      <c r="Q51" s="230">
        <v>1846</v>
      </c>
      <c r="R51" s="231">
        <v>0.8</v>
      </c>
      <c r="S51" s="230">
        <v>5293</v>
      </c>
      <c r="T51" s="231">
        <v>2.2000000000000002</v>
      </c>
      <c r="U51" s="230">
        <v>3145</v>
      </c>
      <c r="V51" s="231">
        <v>1</v>
      </c>
      <c r="W51" s="230">
        <v>11917</v>
      </c>
      <c r="X51" s="231">
        <v>3.3</v>
      </c>
      <c r="Y51" s="230">
        <v>6258</v>
      </c>
      <c r="Z51" s="273">
        <v>2.6</v>
      </c>
    </row>
    <row r="52" spans="1:26" x14ac:dyDescent="0.2">
      <c r="A52" s="699"/>
      <c r="B52" s="272" t="s">
        <v>378</v>
      </c>
      <c r="C52" s="230">
        <v>1822</v>
      </c>
      <c r="D52" s="231">
        <v>11.4</v>
      </c>
      <c r="E52" s="230">
        <v>10253</v>
      </c>
      <c r="F52" s="273">
        <v>11.4</v>
      </c>
      <c r="G52" s="285">
        <v>7830</v>
      </c>
      <c r="H52" s="231">
        <v>26.1</v>
      </c>
      <c r="I52" s="230">
        <v>112752</v>
      </c>
      <c r="J52" s="273">
        <v>31.3</v>
      </c>
      <c r="K52" s="285">
        <v>64500</v>
      </c>
      <c r="L52" s="231">
        <v>26.9</v>
      </c>
      <c r="M52" s="230">
        <v>112752</v>
      </c>
      <c r="N52" s="231">
        <v>31.3</v>
      </c>
      <c r="O52" s="230">
        <v>210172</v>
      </c>
      <c r="P52" s="231">
        <v>58.4</v>
      </c>
      <c r="Q52" s="230">
        <v>140160</v>
      </c>
      <c r="R52" s="231">
        <v>58.4</v>
      </c>
      <c r="S52" s="230">
        <v>140160</v>
      </c>
      <c r="T52" s="231">
        <v>58.4</v>
      </c>
      <c r="U52" s="230">
        <v>82560</v>
      </c>
      <c r="V52" s="231">
        <v>25.8</v>
      </c>
      <c r="W52" s="230">
        <v>252746</v>
      </c>
      <c r="X52" s="231">
        <v>70.2</v>
      </c>
      <c r="Y52" s="230">
        <v>68904</v>
      </c>
      <c r="Z52" s="273">
        <v>28.7</v>
      </c>
    </row>
    <row r="53" spans="1:26" x14ac:dyDescent="0.2">
      <c r="A53" s="699"/>
      <c r="B53" s="272" t="s">
        <v>379</v>
      </c>
      <c r="C53" s="230">
        <v>2803</v>
      </c>
      <c r="D53" s="231">
        <v>17.5</v>
      </c>
      <c r="E53" s="230">
        <v>15768</v>
      </c>
      <c r="F53" s="273">
        <v>17.5</v>
      </c>
      <c r="G53" s="285">
        <v>1566</v>
      </c>
      <c r="H53" s="231">
        <v>5.2</v>
      </c>
      <c r="I53" s="230">
        <v>124050</v>
      </c>
      <c r="J53" s="273">
        <v>34.5</v>
      </c>
      <c r="K53" s="285">
        <v>30960</v>
      </c>
      <c r="L53" s="231">
        <v>12.9</v>
      </c>
      <c r="M53" s="230">
        <v>124050</v>
      </c>
      <c r="N53" s="231">
        <v>34.5</v>
      </c>
      <c r="O53" s="230">
        <v>168192</v>
      </c>
      <c r="P53" s="231">
        <v>46.7</v>
      </c>
      <c r="Q53" s="230">
        <v>56064</v>
      </c>
      <c r="R53" s="231">
        <v>23.4</v>
      </c>
      <c r="S53" s="230">
        <v>14016</v>
      </c>
      <c r="T53" s="231">
        <v>5.8</v>
      </c>
      <c r="U53" s="230">
        <v>8256</v>
      </c>
      <c r="V53" s="231">
        <v>2.6</v>
      </c>
      <c r="W53" s="230">
        <v>13478</v>
      </c>
      <c r="X53" s="231">
        <v>3.7</v>
      </c>
      <c r="Y53" s="230">
        <v>6890</v>
      </c>
      <c r="Z53" s="273">
        <v>2.9</v>
      </c>
    </row>
    <row r="54" spans="1:26" x14ac:dyDescent="0.2">
      <c r="A54" s="699"/>
      <c r="B54" s="272" t="s">
        <v>380</v>
      </c>
      <c r="C54" s="230">
        <v>0</v>
      </c>
      <c r="D54" s="231">
        <v>0</v>
      </c>
      <c r="E54" s="235">
        <v>0</v>
      </c>
      <c r="F54" s="273">
        <v>0</v>
      </c>
      <c r="G54" s="285">
        <v>0</v>
      </c>
      <c r="H54" s="231">
        <v>0</v>
      </c>
      <c r="I54" s="230">
        <v>0</v>
      </c>
      <c r="J54" s="273">
        <v>0</v>
      </c>
      <c r="K54" s="285">
        <v>0</v>
      </c>
      <c r="L54" s="231">
        <v>0</v>
      </c>
      <c r="M54" s="230">
        <v>0</v>
      </c>
      <c r="N54" s="231">
        <v>0</v>
      </c>
      <c r="O54" s="230">
        <v>0</v>
      </c>
      <c r="P54" s="231">
        <v>0</v>
      </c>
      <c r="Q54" s="230">
        <v>0</v>
      </c>
      <c r="R54" s="231">
        <v>0</v>
      </c>
      <c r="S54" s="230">
        <v>0</v>
      </c>
      <c r="T54" s="231">
        <v>0</v>
      </c>
      <c r="U54" s="230">
        <v>0</v>
      </c>
      <c r="V54" s="231">
        <v>0</v>
      </c>
      <c r="W54" s="230">
        <v>0</v>
      </c>
      <c r="X54" s="231">
        <v>0</v>
      </c>
      <c r="Y54" s="230">
        <v>0</v>
      </c>
      <c r="Z54" s="273">
        <v>0</v>
      </c>
    </row>
    <row r="55" spans="1:26" x14ac:dyDescent="0.2">
      <c r="A55" s="699"/>
      <c r="B55" s="272" t="s">
        <v>381</v>
      </c>
      <c r="C55" s="230">
        <v>0</v>
      </c>
      <c r="D55" s="231">
        <v>0</v>
      </c>
      <c r="E55" s="235">
        <v>0</v>
      </c>
      <c r="F55" s="273">
        <v>0</v>
      </c>
      <c r="G55" s="285">
        <v>0</v>
      </c>
      <c r="H55" s="231">
        <v>0</v>
      </c>
      <c r="I55" s="230">
        <v>20235</v>
      </c>
      <c r="J55" s="273">
        <v>5.6</v>
      </c>
      <c r="K55" s="285">
        <v>0</v>
      </c>
      <c r="L55" s="231">
        <v>0</v>
      </c>
      <c r="M55" s="230">
        <v>26017</v>
      </c>
      <c r="N55" s="231">
        <v>7.2</v>
      </c>
      <c r="O55" s="230">
        <v>51513</v>
      </c>
      <c r="P55" s="231">
        <v>14.3</v>
      </c>
      <c r="Q55" s="230">
        <v>0</v>
      </c>
      <c r="R55" s="231">
        <v>0</v>
      </c>
      <c r="S55" s="230">
        <v>22800</v>
      </c>
      <c r="T55" s="231">
        <v>9.5</v>
      </c>
      <c r="U55" s="230">
        <v>0</v>
      </c>
      <c r="V55" s="231">
        <v>0</v>
      </c>
      <c r="W55" s="230">
        <v>53219</v>
      </c>
      <c r="X55" s="231">
        <v>14.8</v>
      </c>
      <c r="Y55" s="230">
        <v>17590</v>
      </c>
      <c r="Z55" s="273">
        <v>7.3</v>
      </c>
    </row>
    <row r="56" spans="1:26" s="20" customFormat="1" x14ac:dyDescent="0.2">
      <c r="A56" s="699"/>
      <c r="B56" s="274" t="s">
        <v>382</v>
      </c>
      <c r="C56" s="275">
        <v>27973</v>
      </c>
      <c r="D56" s="276">
        <v>174.8</v>
      </c>
      <c r="E56" s="277">
        <v>141164</v>
      </c>
      <c r="F56" s="287">
        <v>156.80000000000001</v>
      </c>
      <c r="G56" s="286">
        <v>50702</v>
      </c>
      <c r="H56" s="276">
        <v>169</v>
      </c>
      <c r="I56" s="275">
        <v>544151</v>
      </c>
      <c r="J56" s="279">
        <v>151.19999999999999</v>
      </c>
      <c r="K56" s="286">
        <v>353219</v>
      </c>
      <c r="L56" s="276">
        <v>147.19999999999999</v>
      </c>
      <c r="M56" s="275">
        <v>602967</v>
      </c>
      <c r="N56" s="276">
        <v>167.5</v>
      </c>
      <c r="O56" s="275">
        <v>1211925</v>
      </c>
      <c r="P56" s="276">
        <v>336.6</v>
      </c>
      <c r="Q56" s="275">
        <v>668293</v>
      </c>
      <c r="R56" s="276">
        <v>278.5</v>
      </c>
      <c r="S56" s="275">
        <v>602887</v>
      </c>
      <c r="T56" s="276">
        <v>251.2</v>
      </c>
      <c r="U56" s="275">
        <v>654859</v>
      </c>
      <c r="V56" s="276">
        <v>204.6</v>
      </c>
      <c r="W56" s="275">
        <v>851882</v>
      </c>
      <c r="X56" s="276">
        <v>236.6</v>
      </c>
      <c r="Y56" s="275">
        <v>420586</v>
      </c>
      <c r="Z56" s="279">
        <v>175.2</v>
      </c>
    </row>
    <row r="57" spans="1:26" s="216" customFormat="1" x14ac:dyDescent="0.2">
      <c r="A57" s="699"/>
      <c r="B57" s="283" t="s">
        <v>491</v>
      </c>
      <c r="C57" s="289" t="s">
        <v>372</v>
      </c>
      <c r="D57" s="291" t="s">
        <v>397</v>
      </c>
      <c r="E57" s="289" t="s">
        <v>372</v>
      </c>
      <c r="F57" s="291" t="s">
        <v>397</v>
      </c>
      <c r="G57" s="289" t="s">
        <v>372</v>
      </c>
      <c r="H57" s="291" t="s">
        <v>397</v>
      </c>
      <c r="I57" s="289" t="s">
        <v>372</v>
      </c>
      <c r="J57" s="291" t="s">
        <v>397</v>
      </c>
      <c r="K57" s="289" t="s">
        <v>372</v>
      </c>
      <c r="L57" s="291" t="s">
        <v>397</v>
      </c>
      <c r="M57" s="289" t="s">
        <v>372</v>
      </c>
      <c r="N57" s="291" t="s">
        <v>397</v>
      </c>
      <c r="O57" s="289" t="s">
        <v>372</v>
      </c>
      <c r="P57" s="291" t="s">
        <v>397</v>
      </c>
      <c r="Q57" s="289" t="s">
        <v>372</v>
      </c>
      <c r="R57" s="291" t="s">
        <v>397</v>
      </c>
      <c r="S57" s="289" t="s">
        <v>372</v>
      </c>
      <c r="T57" s="291" t="s">
        <v>397</v>
      </c>
      <c r="U57" s="289" t="s">
        <v>372</v>
      </c>
      <c r="V57" s="291" t="s">
        <v>397</v>
      </c>
      <c r="W57" s="289" t="s">
        <v>372</v>
      </c>
      <c r="X57" s="291" t="s">
        <v>397</v>
      </c>
      <c r="Y57" s="289" t="s">
        <v>372</v>
      </c>
      <c r="Z57" s="291" t="s">
        <v>397</v>
      </c>
    </row>
    <row r="58" spans="1:26" x14ac:dyDescent="0.2">
      <c r="A58" s="699"/>
      <c r="B58" s="272" t="s">
        <v>373</v>
      </c>
      <c r="C58" s="230">
        <f>C$6-C47</f>
        <v>926</v>
      </c>
      <c r="D58" s="293">
        <f t="shared" ref="D58:Z58" si="10">D$6-D47</f>
        <v>5.8000000000000114</v>
      </c>
      <c r="E58" s="230">
        <f t="shared" si="10"/>
        <v>3085</v>
      </c>
      <c r="F58" s="293">
        <f t="shared" si="10"/>
        <v>3.4000000000000057</v>
      </c>
      <c r="G58" s="230">
        <f t="shared" si="10"/>
        <v>2844</v>
      </c>
      <c r="H58" s="293">
        <f t="shared" si="10"/>
        <v>9.5</v>
      </c>
      <c r="I58" s="230">
        <f t="shared" si="10"/>
        <v>7394</v>
      </c>
      <c r="J58" s="293">
        <f t="shared" si="10"/>
        <v>2</v>
      </c>
      <c r="K58" s="230">
        <f t="shared" si="10"/>
        <v>7942</v>
      </c>
      <c r="L58" s="293">
        <f t="shared" si="10"/>
        <v>3.3000000000000043</v>
      </c>
      <c r="M58" s="230">
        <f t="shared" si="10"/>
        <v>8002</v>
      </c>
      <c r="N58" s="293">
        <f t="shared" si="10"/>
        <v>2.2000000000000028</v>
      </c>
      <c r="O58" s="230">
        <f t="shared" si="10"/>
        <v>9593</v>
      </c>
      <c r="P58" s="293">
        <f t="shared" si="10"/>
        <v>2.6000000000000085</v>
      </c>
      <c r="Q58" s="230">
        <f t="shared" si="10"/>
        <v>8890</v>
      </c>
      <c r="R58" s="293">
        <f t="shared" si="10"/>
        <v>3.8000000000000114</v>
      </c>
      <c r="S58" s="230">
        <f t="shared" si="10"/>
        <v>13423</v>
      </c>
      <c r="T58" s="293">
        <f t="shared" si="10"/>
        <v>5.5999999999999943</v>
      </c>
      <c r="U58" s="230">
        <f t="shared" si="10"/>
        <v>30242</v>
      </c>
      <c r="V58" s="293">
        <f t="shared" si="10"/>
        <v>9.3999999999999915</v>
      </c>
      <c r="W58" s="230">
        <f t="shared" si="10"/>
        <v>9165</v>
      </c>
      <c r="X58" s="293">
        <f t="shared" si="10"/>
        <v>2.5</v>
      </c>
      <c r="Y58" s="230">
        <f t="shared" si="10"/>
        <v>8885</v>
      </c>
      <c r="Z58" s="293">
        <f t="shared" si="10"/>
        <v>3.7000000000000028</v>
      </c>
    </row>
    <row r="59" spans="1:26" x14ac:dyDescent="0.2">
      <c r="A59" s="699"/>
      <c r="B59" s="272" t="s">
        <v>374</v>
      </c>
      <c r="C59" s="230">
        <f t="shared" ref="C59:Z59" si="11">C$7-C48</f>
        <v>0</v>
      </c>
      <c r="D59" s="293">
        <f t="shared" si="11"/>
        <v>0</v>
      </c>
      <c r="E59" s="230">
        <f t="shared" si="11"/>
        <v>0</v>
      </c>
      <c r="F59" s="293">
        <f t="shared" si="11"/>
        <v>0</v>
      </c>
      <c r="G59" s="230">
        <f t="shared" si="11"/>
        <v>4</v>
      </c>
      <c r="H59" s="293">
        <f t="shared" si="11"/>
        <v>0</v>
      </c>
      <c r="I59" s="230">
        <f t="shared" si="11"/>
        <v>27</v>
      </c>
      <c r="J59" s="293">
        <f t="shared" si="11"/>
        <v>0</v>
      </c>
      <c r="K59" s="230">
        <f t="shared" si="11"/>
        <v>13</v>
      </c>
      <c r="L59" s="293">
        <f t="shared" si="11"/>
        <v>0</v>
      </c>
      <c r="M59" s="230">
        <f t="shared" si="11"/>
        <v>22</v>
      </c>
      <c r="N59" s="293">
        <f t="shared" si="11"/>
        <v>0</v>
      </c>
      <c r="O59" s="230">
        <f t="shared" si="11"/>
        <v>168</v>
      </c>
      <c r="P59" s="293">
        <f t="shared" si="11"/>
        <v>0</v>
      </c>
      <c r="Q59" s="230">
        <f t="shared" si="11"/>
        <v>198</v>
      </c>
      <c r="R59" s="293">
        <f t="shared" si="11"/>
        <v>0.10000000000000142</v>
      </c>
      <c r="S59" s="230">
        <f t="shared" si="11"/>
        <v>11</v>
      </c>
      <c r="T59" s="293">
        <f t="shared" si="11"/>
        <v>0</v>
      </c>
      <c r="U59" s="230">
        <f t="shared" si="11"/>
        <v>181</v>
      </c>
      <c r="V59" s="293">
        <f t="shared" si="11"/>
        <v>0</v>
      </c>
      <c r="W59" s="230">
        <f t="shared" si="11"/>
        <v>22</v>
      </c>
      <c r="X59" s="293">
        <f t="shared" si="11"/>
        <v>0</v>
      </c>
      <c r="Y59" s="230">
        <f t="shared" si="11"/>
        <v>5</v>
      </c>
      <c r="Z59" s="293">
        <f t="shared" si="11"/>
        <v>0</v>
      </c>
    </row>
    <row r="60" spans="1:26" x14ac:dyDescent="0.2">
      <c r="A60" s="699"/>
      <c r="B60" s="272" t="s">
        <v>375</v>
      </c>
      <c r="C60" s="230">
        <f>C$8-C49</f>
        <v>0</v>
      </c>
      <c r="D60" s="293">
        <f t="shared" ref="D60:Z60" si="12">D$8-D49</f>
        <v>0</v>
      </c>
      <c r="E60" s="230">
        <f t="shared" si="12"/>
        <v>0</v>
      </c>
      <c r="F60" s="293">
        <f t="shared" si="12"/>
        <v>0</v>
      </c>
      <c r="G60" s="230">
        <f t="shared" si="12"/>
        <v>0</v>
      </c>
      <c r="H60" s="293">
        <f t="shared" si="12"/>
        <v>0</v>
      </c>
      <c r="I60" s="230">
        <f t="shared" si="12"/>
        <v>0</v>
      </c>
      <c r="J60" s="293">
        <f t="shared" si="12"/>
        <v>0</v>
      </c>
      <c r="K60" s="230">
        <f t="shared" si="12"/>
        <v>0</v>
      </c>
      <c r="L60" s="293">
        <f t="shared" si="12"/>
        <v>0</v>
      </c>
      <c r="M60" s="230">
        <f t="shared" si="12"/>
        <v>0</v>
      </c>
      <c r="N60" s="293">
        <f t="shared" si="12"/>
        <v>0</v>
      </c>
      <c r="O60" s="230">
        <f t="shared" si="12"/>
        <v>0</v>
      </c>
      <c r="P60" s="293">
        <f t="shared" si="12"/>
        <v>0</v>
      </c>
      <c r="Q60" s="230">
        <f t="shared" si="12"/>
        <v>0</v>
      </c>
      <c r="R60" s="293">
        <f t="shared" si="12"/>
        <v>0</v>
      </c>
      <c r="S60" s="230">
        <f t="shared" si="12"/>
        <v>0</v>
      </c>
      <c r="T60" s="293">
        <f t="shared" si="12"/>
        <v>0</v>
      </c>
      <c r="U60" s="230">
        <f t="shared" si="12"/>
        <v>0</v>
      </c>
      <c r="V60" s="293">
        <f t="shared" si="12"/>
        <v>0</v>
      </c>
      <c r="W60" s="230">
        <f t="shared" si="12"/>
        <v>0</v>
      </c>
      <c r="X60" s="293">
        <f t="shared" si="12"/>
        <v>0</v>
      </c>
      <c r="Y60" s="230">
        <f t="shared" si="12"/>
        <v>0</v>
      </c>
      <c r="Z60" s="293">
        <f t="shared" si="12"/>
        <v>0</v>
      </c>
    </row>
    <row r="61" spans="1:26" x14ac:dyDescent="0.2">
      <c r="A61" s="699"/>
      <c r="B61" s="272" t="s">
        <v>376</v>
      </c>
      <c r="C61" s="230">
        <f t="shared" ref="C61:Z61" si="13">C$9-C50</f>
        <v>0</v>
      </c>
      <c r="D61" s="293">
        <f t="shared" si="13"/>
        <v>0</v>
      </c>
      <c r="E61" s="230">
        <f t="shared" si="13"/>
        <v>0</v>
      </c>
      <c r="F61" s="293">
        <f t="shared" si="13"/>
        <v>0</v>
      </c>
      <c r="G61" s="230">
        <f t="shared" si="13"/>
        <v>0</v>
      </c>
      <c r="H61" s="293">
        <f t="shared" si="13"/>
        <v>0</v>
      </c>
      <c r="I61" s="230">
        <f t="shared" si="13"/>
        <v>0</v>
      </c>
      <c r="J61" s="293">
        <f t="shared" si="13"/>
        <v>0</v>
      </c>
      <c r="K61" s="230">
        <f t="shared" si="13"/>
        <v>0</v>
      </c>
      <c r="L61" s="293">
        <f t="shared" si="13"/>
        <v>0</v>
      </c>
      <c r="M61" s="230">
        <f t="shared" si="13"/>
        <v>0</v>
      </c>
      <c r="N61" s="293">
        <f t="shared" si="13"/>
        <v>0</v>
      </c>
      <c r="O61" s="230">
        <f t="shared" si="13"/>
        <v>0</v>
      </c>
      <c r="P61" s="293">
        <f t="shared" si="13"/>
        <v>0</v>
      </c>
      <c r="Q61" s="230">
        <f t="shared" si="13"/>
        <v>0</v>
      </c>
      <c r="R61" s="293">
        <f t="shared" si="13"/>
        <v>0</v>
      </c>
      <c r="S61" s="230">
        <f t="shared" si="13"/>
        <v>0</v>
      </c>
      <c r="T61" s="293">
        <f t="shared" si="13"/>
        <v>0</v>
      </c>
      <c r="U61" s="230">
        <f t="shared" si="13"/>
        <v>0</v>
      </c>
      <c r="V61" s="293">
        <f t="shared" si="13"/>
        <v>0</v>
      </c>
      <c r="W61" s="230">
        <f t="shared" si="13"/>
        <v>0</v>
      </c>
      <c r="X61" s="293">
        <f t="shared" si="13"/>
        <v>0</v>
      </c>
      <c r="Y61" s="230">
        <f t="shared" si="13"/>
        <v>0</v>
      </c>
      <c r="Z61" s="293">
        <f t="shared" si="13"/>
        <v>0</v>
      </c>
    </row>
    <row r="62" spans="1:26" x14ac:dyDescent="0.2">
      <c r="A62" s="699"/>
      <c r="B62" s="272" t="s">
        <v>377</v>
      </c>
      <c r="C62" s="230">
        <f t="shared" ref="C62:Z62" si="14">C$10-C51</f>
        <v>3</v>
      </c>
      <c r="D62" s="293">
        <f t="shared" si="14"/>
        <v>0</v>
      </c>
      <c r="E62" s="230">
        <f t="shared" si="14"/>
        <v>11</v>
      </c>
      <c r="F62" s="293">
        <f t="shared" si="14"/>
        <v>0</v>
      </c>
      <c r="G62" s="230">
        <f t="shared" si="14"/>
        <v>10</v>
      </c>
      <c r="H62" s="293">
        <f t="shared" si="14"/>
        <v>0.10000000000000009</v>
      </c>
      <c r="I62" s="230">
        <f t="shared" si="14"/>
        <v>28</v>
      </c>
      <c r="J62" s="293">
        <f t="shared" si="14"/>
        <v>0</v>
      </c>
      <c r="K62" s="230">
        <f t="shared" si="14"/>
        <v>28</v>
      </c>
      <c r="L62" s="293">
        <f t="shared" si="14"/>
        <v>0</v>
      </c>
      <c r="M62" s="230">
        <f t="shared" si="14"/>
        <v>28</v>
      </c>
      <c r="N62" s="293">
        <f t="shared" si="14"/>
        <v>0</v>
      </c>
      <c r="O62" s="230">
        <f t="shared" si="14"/>
        <v>32</v>
      </c>
      <c r="P62" s="293">
        <f t="shared" si="14"/>
        <v>0</v>
      </c>
      <c r="Q62" s="230">
        <f t="shared" si="14"/>
        <v>32</v>
      </c>
      <c r="R62" s="293">
        <f t="shared" si="14"/>
        <v>0</v>
      </c>
      <c r="S62" s="230">
        <f t="shared" si="14"/>
        <v>43</v>
      </c>
      <c r="T62" s="293">
        <f t="shared" si="14"/>
        <v>0</v>
      </c>
      <c r="U62" s="230">
        <f t="shared" si="14"/>
        <v>117</v>
      </c>
      <c r="V62" s="293">
        <f t="shared" si="14"/>
        <v>0</v>
      </c>
      <c r="W62" s="230">
        <f t="shared" si="14"/>
        <v>30</v>
      </c>
      <c r="X62" s="293">
        <f t="shared" si="14"/>
        <v>0</v>
      </c>
      <c r="Y62" s="230">
        <f t="shared" si="14"/>
        <v>30</v>
      </c>
      <c r="Z62" s="293">
        <f t="shared" si="14"/>
        <v>0</v>
      </c>
    </row>
    <row r="63" spans="1:26" x14ac:dyDescent="0.2">
      <c r="A63" s="699"/>
      <c r="B63" s="272" t="s">
        <v>378</v>
      </c>
      <c r="C63" s="230">
        <f t="shared" ref="C63:Z63" si="15">C$11-C52</f>
        <v>0</v>
      </c>
      <c r="D63" s="293">
        <f t="shared" si="15"/>
        <v>0</v>
      </c>
      <c r="E63" s="230">
        <f t="shared" si="15"/>
        <v>0</v>
      </c>
      <c r="F63" s="293">
        <f t="shared" si="15"/>
        <v>0</v>
      </c>
      <c r="G63" s="230">
        <f t="shared" si="15"/>
        <v>0</v>
      </c>
      <c r="H63" s="293">
        <f t="shared" si="15"/>
        <v>0</v>
      </c>
      <c r="I63" s="230">
        <f t="shared" si="15"/>
        <v>0</v>
      </c>
      <c r="J63" s="293">
        <f t="shared" si="15"/>
        <v>0</v>
      </c>
      <c r="K63" s="230">
        <f t="shared" si="15"/>
        <v>0</v>
      </c>
      <c r="L63" s="293">
        <f t="shared" si="15"/>
        <v>0</v>
      </c>
      <c r="M63" s="230">
        <f t="shared" si="15"/>
        <v>0</v>
      </c>
      <c r="N63" s="293">
        <f t="shared" si="15"/>
        <v>0</v>
      </c>
      <c r="O63" s="230">
        <f t="shared" si="15"/>
        <v>0</v>
      </c>
      <c r="P63" s="293">
        <f t="shared" si="15"/>
        <v>0</v>
      </c>
      <c r="Q63" s="230">
        <f t="shared" si="15"/>
        <v>0</v>
      </c>
      <c r="R63" s="293">
        <f t="shared" si="15"/>
        <v>0</v>
      </c>
      <c r="S63" s="230">
        <f t="shared" si="15"/>
        <v>0</v>
      </c>
      <c r="T63" s="293">
        <f t="shared" si="15"/>
        <v>0</v>
      </c>
      <c r="U63" s="230">
        <f t="shared" si="15"/>
        <v>0</v>
      </c>
      <c r="V63" s="293">
        <f t="shared" si="15"/>
        <v>0</v>
      </c>
      <c r="W63" s="230">
        <f t="shared" si="15"/>
        <v>0</v>
      </c>
      <c r="X63" s="293">
        <f t="shared" si="15"/>
        <v>0</v>
      </c>
      <c r="Y63" s="230">
        <f t="shared" si="15"/>
        <v>0</v>
      </c>
      <c r="Z63" s="293">
        <f t="shared" si="15"/>
        <v>0</v>
      </c>
    </row>
    <row r="64" spans="1:26" x14ac:dyDescent="0.2">
      <c r="A64" s="699"/>
      <c r="B64" s="272" t="s">
        <v>379</v>
      </c>
      <c r="C64" s="230">
        <f t="shared" ref="C64:Z64" si="16">C$12-C53</f>
        <v>0</v>
      </c>
      <c r="D64" s="293">
        <f t="shared" si="16"/>
        <v>0</v>
      </c>
      <c r="E64" s="230">
        <f t="shared" si="16"/>
        <v>0</v>
      </c>
      <c r="F64" s="293">
        <f t="shared" si="16"/>
        <v>0</v>
      </c>
      <c r="G64" s="230">
        <f t="shared" si="16"/>
        <v>0</v>
      </c>
      <c r="H64" s="293">
        <f t="shared" si="16"/>
        <v>0</v>
      </c>
      <c r="I64" s="230">
        <f t="shared" si="16"/>
        <v>0</v>
      </c>
      <c r="J64" s="293">
        <f t="shared" si="16"/>
        <v>0</v>
      </c>
      <c r="K64" s="230">
        <f t="shared" si="16"/>
        <v>0</v>
      </c>
      <c r="L64" s="293">
        <f t="shared" si="16"/>
        <v>0</v>
      </c>
      <c r="M64" s="230">
        <f t="shared" si="16"/>
        <v>0</v>
      </c>
      <c r="N64" s="293">
        <f t="shared" si="16"/>
        <v>0</v>
      </c>
      <c r="O64" s="230">
        <f t="shared" si="16"/>
        <v>0</v>
      </c>
      <c r="P64" s="293">
        <f t="shared" si="16"/>
        <v>0</v>
      </c>
      <c r="Q64" s="230">
        <f t="shared" si="16"/>
        <v>0</v>
      </c>
      <c r="R64" s="293">
        <f t="shared" si="16"/>
        <v>0</v>
      </c>
      <c r="S64" s="230">
        <f t="shared" si="16"/>
        <v>0</v>
      </c>
      <c r="T64" s="293">
        <f t="shared" si="16"/>
        <v>0</v>
      </c>
      <c r="U64" s="230">
        <f t="shared" si="16"/>
        <v>0</v>
      </c>
      <c r="V64" s="293">
        <f t="shared" si="16"/>
        <v>0</v>
      </c>
      <c r="W64" s="230">
        <f t="shared" si="16"/>
        <v>0</v>
      </c>
      <c r="X64" s="293">
        <f t="shared" si="16"/>
        <v>0</v>
      </c>
      <c r="Y64" s="230">
        <f t="shared" si="16"/>
        <v>0</v>
      </c>
      <c r="Z64" s="293">
        <f t="shared" si="16"/>
        <v>0</v>
      </c>
    </row>
    <row r="65" spans="1:26" x14ac:dyDescent="0.2">
      <c r="A65" s="699"/>
      <c r="B65" s="272" t="s">
        <v>380</v>
      </c>
      <c r="C65" s="230">
        <f t="shared" ref="C65:Z65" si="17">C$13-C54</f>
        <v>0</v>
      </c>
      <c r="D65" s="293">
        <f t="shared" si="17"/>
        <v>0</v>
      </c>
      <c r="E65" s="230">
        <f t="shared" si="17"/>
        <v>0</v>
      </c>
      <c r="F65" s="293">
        <f t="shared" si="17"/>
        <v>0</v>
      </c>
      <c r="G65" s="230">
        <f t="shared" si="17"/>
        <v>0</v>
      </c>
      <c r="H65" s="293">
        <f t="shared" si="17"/>
        <v>0</v>
      </c>
      <c r="I65" s="230">
        <f t="shared" si="17"/>
        <v>0</v>
      </c>
      <c r="J65" s="293">
        <f t="shared" si="17"/>
        <v>0</v>
      </c>
      <c r="K65" s="230">
        <f t="shared" si="17"/>
        <v>0</v>
      </c>
      <c r="L65" s="293">
        <f t="shared" si="17"/>
        <v>0</v>
      </c>
      <c r="M65" s="230">
        <f t="shared" si="17"/>
        <v>0</v>
      </c>
      <c r="N65" s="293">
        <f t="shared" si="17"/>
        <v>0</v>
      </c>
      <c r="O65" s="230">
        <f t="shared" si="17"/>
        <v>0</v>
      </c>
      <c r="P65" s="293">
        <f t="shared" si="17"/>
        <v>0</v>
      </c>
      <c r="Q65" s="230">
        <f t="shared" si="17"/>
        <v>0</v>
      </c>
      <c r="R65" s="293">
        <f t="shared" si="17"/>
        <v>0</v>
      </c>
      <c r="S65" s="230">
        <f t="shared" si="17"/>
        <v>0</v>
      </c>
      <c r="T65" s="293">
        <f t="shared" si="17"/>
        <v>0</v>
      </c>
      <c r="U65" s="230">
        <f t="shared" si="17"/>
        <v>0</v>
      </c>
      <c r="V65" s="293">
        <f t="shared" si="17"/>
        <v>0</v>
      </c>
      <c r="W65" s="230">
        <f t="shared" si="17"/>
        <v>0</v>
      </c>
      <c r="X65" s="293">
        <f t="shared" si="17"/>
        <v>0</v>
      </c>
      <c r="Y65" s="230">
        <f t="shared" si="17"/>
        <v>0</v>
      </c>
      <c r="Z65" s="293">
        <f t="shared" si="17"/>
        <v>0</v>
      </c>
    </row>
    <row r="66" spans="1:26" x14ac:dyDescent="0.2">
      <c r="A66" s="699"/>
      <c r="B66" s="272" t="s">
        <v>381</v>
      </c>
      <c r="C66" s="230">
        <f t="shared" ref="C66:Z66" si="18">C$14-C55</f>
        <v>0</v>
      </c>
      <c r="D66" s="293">
        <f t="shared" si="18"/>
        <v>0</v>
      </c>
      <c r="E66" s="230">
        <f t="shared" si="18"/>
        <v>0</v>
      </c>
      <c r="F66" s="293">
        <f t="shared" si="18"/>
        <v>0</v>
      </c>
      <c r="G66" s="230">
        <f t="shared" si="18"/>
        <v>0</v>
      </c>
      <c r="H66" s="293">
        <f t="shared" si="18"/>
        <v>0</v>
      </c>
      <c r="I66" s="230">
        <f t="shared" si="18"/>
        <v>0</v>
      </c>
      <c r="J66" s="293">
        <f t="shared" si="18"/>
        <v>0</v>
      </c>
      <c r="K66" s="230">
        <f t="shared" si="18"/>
        <v>0</v>
      </c>
      <c r="L66" s="293">
        <f t="shared" si="18"/>
        <v>0</v>
      </c>
      <c r="M66" s="230">
        <f t="shared" si="18"/>
        <v>0</v>
      </c>
      <c r="N66" s="293">
        <f t="shared" si="18"/>
        <v>0</v>
      </c>
      <c r="O66" s="230">
        <f t="shared" si="18"/>
        <v>0</v>
      </c>
      <c r="P66" s="293">
        <f t="shared" si="18"/>
        <v>0</v>
      </c>
      <c r="Q66" s="230">
        <f t="shared" si="18"/>
        <v>0</v>
      </c>
      <c r="R66" s="293">
        <f t="shared" si="18"/>
        <v>0</v>
      </c>
      <c r="S66" s="230">
        <f t="shared" si="18"/>
        <v>0</v>
      </c>
      <c r="T66" s="293">
        <f t="shared" si="18"/>
        <v>0</v>
      </c>
      <c r="U66" s="230">
        <f t="shared" si="18"/>
        <v>0</v>
      </c>
      <c r="V66" s="293">
        <f t="shared" si="18"/>
        <v>0</v>
      </c>
      <c r="W66" s="230">
        <f t="shared" si="18"/>
        <v>0</v>
      </c>
      <c r="X66" s="293">
        <f t="shared" si="18"/>
        <v>0</v>
      </c>
      <c r="Y66" s="230">
        <f t="shared" si="18"/>
        <v>0</v>
      </c>
      <c r="Z66" s="293">
        <f t="shared" si="18"/>
        <v>0</v>
      </c>
    </row>
    <row r="67" spans="1:26" s="20" customFormat="1" x14ac:dyDescent="0.2">
      <c r="A67" s="700"/>
      <c r="B67" s="274" t="s">
        <v>382</v>
      </c>
      <c r="C67" s="275">
        <f t="shared" ref="C67:Z67" si="19">C$15-C56</f>
        <v>929</v>
      </c>
      <c r="D67" s="294">
        <f t="shared" si="19"/>
        <v>5.7999999999999829</v>
      </c>
      <c r="E67" s="275">
        <f t="shared" si="19"/>
        <v>3096</v>
      </c>
      <c r="F67" s="294">
        <f t="shared" si="19"/>
        <v>3.5</v>
      </c>
      <c r="G67" s="275">
        <f t="shared" si="19"/>
        <v>2858</v>
      </c>
      <c r="H67" s="294">
        <f t="shared" si="19"/>
        <v>9.5</v>
      </c>
      <c r="I67" s="275">
        <f t="shared" si="19"/>
        <v>7450</v>
      </c>
      <c r="J67" s="294">
        <f t="shared" si="19"/>
        <v>2</v>
      </c>
      <c r="K67" s="275">
        <f t="shared" si="19"/>
        <v>7984</v>
      </c>
      <c r="L67" s="294">
        <f t="shared" si="19"/>
        <v>3.3000000000000114</v>
      </c>
      <c r="M67" s="275">
        <f t="shared" si="19"/>
        <v>8053</v>
      </c>
      <c r="N67" s="294">
        <f t="shared" si="19"/>
        <v>2.1999999999999886</v>
      </c>
      <c r="O67" s="275">
        <f t="shared" si="19"/>
        <v>9792</v>
      </c>
      <c r="P67" s="294">
        <f t="shared" si="19"/>
        <v>2.7999999999999545</v>
      </c>
      <c r="Q67" s="275">
        <f t="shared" si="19"/>
        <v>9119</v>
      </c>
      <c r="R67" s="294">
        <f t="shared" si="19"/>
        <v>3.8000000000000114</v>
      </c>
      <c r="S67" s="275">
        <f t="shared" si="19"/>
        <v>13478</v>
      </c>
      <c r="T67" s="294">
        <f t="shared" si="19"/>
        <v>5.6000000000000227</v>
      </c>
      <c r="U67" s="275">
        <f t="shared" si="19"/>
        <v>30541</v>
      </c>
      <c r="V67" s="294">
        <f t="shared" si="19"/>
        <v>9.5999999999999943</v>
      </c>
      <c r="W67" s="275">
        <f t="shared" si="19"/>
        <v>9217</v>
      </c>
      <c r="X67" s="294">
        <f t="shared" si="19"/>
        <v>2.5999999999999943</v>
      </c>
      <c r="Y67" s="275">
        <f t="shared" si="19"/>
        <v>8919</v>
      </c>
      <c r="Z67" s="294">
        <f t="shared" si="19"/>
        <v>3.8000000000000114</v>
      </c>
    </row>
    <row r="68" spans="1:26" s="20" customFormat="1" x14ac:dyDescent="0.2">
      <c r="A68" s="266"/>
      <c r="B68" s="227"/>
      <c r="C68" s="267"/>
      <c r="D68" s="232"/>
      <c r="E68" s="268"/>
      <c r="F68" s="237"/>
      <c r="G68" s="267"/>
      <c r="H68" s="232"/>
      <c r="I68" s="267"/>
      <c r="J68" s="232"/>
      <c r="K68" s="267"/>
      <c r="L68" s="232"/>
      <c r="M68" s="267"/>
      <c r="N68" s="232"/>
      <c r="O68" s="267"/>
      <c r="P68" s="232"/>
      <c r="Q68" s="267"/>
      <c r="R68" s="232"/>
      <c r="S68" s="267"/>
      <c r="T68" s="232"/>
      <c r="U68" s="267"/>
      <c r="V68" s="232"/>
      <c r="W68" s="267"/>
      <c r="X68" s="232"/>
      <c r="Y68" s="267"/>
      <c r="Z68" s="232"/>
    </row>
    <row r="69" spans="1:26" s="202" customFormat="1" x14ac:dyDescent="0.2">
      <c r="A69" s="698" t="s">
        <v>512</v>
      </c>
      <c r="B69" s="269" t="s">
        <v>488</v>
      </c>
      <c r="C69" s="304" t="s">
        <v>486</v>
      </c>
      <c r="D69" s="280" t="s">
        <v>487</v>
      </c>
      <c r="E69" s="304" t="s">
        <v>486</v>
      </c>
      <c r="F69" s="280" t="s">
        <v>487</v>
      </c>
      <c r="G69" s="304" t="s">
        <v>486</v>
      </c>
      <c r="H69" s="280" t="s">
        <v>487</v>
      </c>
      <c r="I69" s="304" t="s">
        <v>486</v>
      </c>
      <c r="J69" s="280" t="s">
        <v>487</v>
      </c>
      <c r="K69" s="304" t="s">
        <v>486</v>
      </c>
      <c r="L69" s="280" t="s">
        <v>487</v>
      </c>
      <c r="M69" s="304" t="s">
        <v>486</v>
      </c>
      <c r="N69" s="280" t="s">
        <v>487</v>
      </c>
      <c r="O69" s="304" t="s">
        <v>486</v>
      </c>
      <c r="P69" s="280" t="s">
        <v>487</v>
      </c>
      <c r="Q69" s="304" t="s">
        <v>486</v>
      </c>
      <c r="R69" s="280" t="s">
        <v>487</v>
      </c>
      <c r="S69" s="304" t="s">
        <v>486</v>
      </c>
      <c r="T69" s="280" t="s">
        <v>487</v>
      </c>
      <c r="U69" s="304" t="s">
        <v>486</v>
      </c>
      <c r="V69" s="280" t="s">
        <v>487</v>
      </c>
      <c r="W69" s="304" t="s">
        <v>486</v>
      </c>
      <c r="X69" s="280" t="s">
        <v>487</v>
      </c>
      <c r="Y69" s="304" t="s">
        <v>486</v>
      </c>
      <c r="Z69" s="314" t="s">
        <v>487</v>
      </c>
    </row>
    <row r="70" spans="1:26" x14ac:dyDescent="0.2">
      <c r="A70" s="699"/>
      <c r="B70" s="144" t="s">
        <v>256</v>
      </c>
      <c r="C70" s="305">
        <f>'6 Oversikt startpunkt'!B9</f>
        <v>0.25</v>
      </c>
      <c r="D70" s="270">
        <f>'7 Passivhusnivå'!C28</f>
        <v>0.09</v>
      </c>
      <c r="E70" s="305">
        <f>'6 Oversikt startpunkt'!C9</f>
        <v>0.2</v>
      </c>
      <c r="F70" s="270">
        <f>'7 Passivhusnivå'!D28</f>
        <v>0.09</v>
      </c>
      <c r="G70" s="305">
        <f>'6 Oversikt startpunkt'!D9</f>
        <v>0.3</v>
      </c>
      <c r="H70" s="270">
        <f>'7 Passivhusnivå'!F28</f>
        <v>0.09</v>
      </c>
      <c r="I70" s="305">
        <f>'6 Oversikt startpunkt'!E9</f>
        <v>0.3</v>
      </c>
      <c r="J70" s="270">
        <f>'7 Passivhusnivå'!G28</f>
        <v>0.11</v>
      </c>
      <c r="K70" s="243">
        <f>'6 Oversikt startpunkt'!F9</f>
        <v>0.3</v>
      </c>
      <c r="L70" s="312">
        <f>'7 Passivhusnivå'!H28</f>
        <v>0.11</v>
      </c>
      <c r="M70" s="271">
        <f>'6 Oversikt startpunkt'!G9</f>
        <v>0.3</v>
      </c>
      <c r="N70" s="270">
        <f>'7 Passivhusnivå'!I28</f>
        <v>0.11</v>
      </c>
      <c r="O70" s="243">
        <f>'6 Oversikt startpunkt'!H9</f>
        <v>0.3</v>
      </c>
      <c r="P70" s="312">
        <f>'7 Passivhusnivå'!J28</f>
        <v>0.11</v>
      </c>
      <c r="Q70" s="271">
        <f>'6 Oversikt startpunkt'!I9</f>
        <v>0.3</v>
      </c>
      <c r="R70" s="270">
        <f>'7 Passivhusnivå'!K28</f>
        <v>0.11</v>
      </c>
      <c r="S70" s="243">
        <f>'6 Oversikt startpunkt'!J9</f>
        <v>0.3</v>
      </c>
      <c r="T70" s="312">
        <f>'7 Passivhusnivå'!L28</f>
        <v>0.09</v>
      </c>
      <c r="U70" s="271">
        <f>'6 Oversikt startpunkt'!K9</f>
        <v>0.3</v>
      </c>
      <c r="V70" s="270">
        <f>'7 Passivhusnivå'!M28</f>
        <v>0.09</v>
      </c>
      <c r="W70" s="243">
        <f>'6 Oversikt startpunkt'!L9</f>
        <v>0.3</v>
      </c>
      <c r="X70" s="312">
        <f>'7 Passivhusnivå'!N28</f>
        <v>0.11</v>
      </c>
      <c r="Y70" s="243">
        <f>'6 Oversikt startpunkt'!M9</f>
        <v>0.3</v>
      </c>
      <c r="Z70" s="312">
        <f>'7 Passivhusnivå'!O28</f>
        <v>0.11</v>
      </c>
    </row>
    <row r="71" spans="1:26" s="216" customFormat="1" x14ac:dyDescent="0.2">
      <c r="A71" s="699"/>
      <c r="B71" s="288" t="s">
        <v>490</v>
      </c>
      <c r="C71" s="289" t="s">
        <v>372</v>
      </c>
      <c r="D71" s="290" t="s">
        <v>397</v>
      </c>
      <c r="E71" s="289" t="s">
        <v>372</v>
      </c>
      <c r="F71" s="291" t="s">
        <v>397</v>
      </c>
      <c r="G71" s="292" t="s">
        <v>372</v>
      </c>
      <c r="H71" s="290" t="s">
        <v>397</v>
      </c>
      <c r="I71" s="289" t="s">
        <v>372</v>
      </c>
      <c r="J71" s="291" t="s">
        <v>397</v>
      </c>
      <c r="K71" s="292" t="s">
        <v>372</v>
      </c>
      <c r="L71" s="290" t="s">
        <v>397</v>
      </c>
      <c r="M71" s="289" t="s">
        <v>372</v>
      </c>
      <c r="N71" s="290" t="s">
        <v>397</v>
      </c>
      <c r="O71" s="289" t="s">
        <v>372</v>
      </c>
      <c r="P71" s="290" t="s">
        <v>397</v>
      </c>
      <c r="Q71" s="289" t="s">
        <v>372</v>
      </c>
      <c r="R71" s="290" t="s">
        <v>397</v>
      </c>
      <c r="S71" s="289" t="s">
        <v>372</v>
      </c>
      <c r="T71" s="290" t="s">
        <v>397</v>
      </c>
      <c r="U71" s="289" t="s">
        <v>372</v>
      </c>
      <c r="V71" s="290" t="s">
        <v>397</v>
      </c>
      <c r="W71" s="289" t="s">
        <v>372</v>
      </c>
      <c r="X71" s="290" t="s">
        <v>397</v>
      </c>
      <c r="Y71" s="289" t="s">
        <v>372</v>
      </c>
      <c r="Z71" s="291" t="s">
        <v>397</v>
      </c>
    </row>
    <row r="72" spans="1:26" x14ac:dyDescent="0.2">
      <c r="A72" s="699"/>
      <c r="B72" s="272" t="s">
        <v>373</v>
      </c>
      <c r="C72" s="230">
        <v>17133</v>
      </c>
      <c r="D72" s="231">
        <v>107.1</v>
      </c>
      <c r="E72" s="230">
        <v>81010</v>
      </c>
      <c r="F72" s="273">
        <v>90</v>
      </c>
      <c r="G72" s="285">
        <v>24987</v>
      </c>
      <c r="H72" s="231">
        <v>83.3</v>
      </c>
      <c r="I72" s="230">
        <v>130911</v>
      </c>
      <c r="J72" s="273">
        <v>36.4</v>
      </c>
      <c r="K72" s="285">
        <v>129763</v>
      </c>
      <c r="L72" s="231">
        <v>54.1</v>
      </c>
      <c r="M72" s="230">
        <v>146100</v>
      </c>
      <c r="N72" s="231">
        <v>40.6</v>
      </c>
      <c r="O72" s="230">
        <v>265208</v>
      </c>
      <c r="P72" s="231">
        <v>73.7</v>
      </c>
      <c r="Q72" s="230">
        <v>155468</v>
      </c>
      <c r="R72" s="231">
        <v>64.8</v>
      </c>
      <c r="S72" s="230">
        <v>188281</v>
      </c>
      <c r="T72" s="231">
        <v>78.5</v>
      </c>
      <c r="U72" s="230">
        <v>244955</v>
      </c>
      <c r="V72" s="231">
        <v>76.5</v>
      </c>
      <c r="W72" s="230">
        <v>180428</v>
      </c>
      <c r="X72" s="231">
        <v>50.1</v>
      </c>
      <c r="Y72" s="230">
        <v>197118</v>
      </c>
      <c r="Z72" s="273">
        <v>82.1</v>
      </c>
    </row>
    <row r="73" spans="1:26" x14ac:dyDescent="0.2">
      <c r="A73" s="699"/>
      <c r="B73" s="272" t="s">
        <v>374</v>
      </c>
      <c r="C73" s="230">
        <v>0</v>
      </c>
      <c r="D73" s="231">
        <v>0</v>
      </c>
      <c r="E73" s="230">
        <v>0</v>
      </c>
      <c r="F73" s="273">
        <v>0</v>
      </c>
      <c r="G73" s="285">
        <v>1973</v>
      </c>
      <c r="H73" s="231">
        <v>6.6</v>
      </c>
      <c r="I73" s="230">
        <v>24140</v>
      </c>
      <c r="J73" s="273">
        <v>6.7</v>
      </c>
      <c r="K73" s="285">
        <v>19887</v>
      </c>
      <c r="L73" s="231">
        <v>8.3000000000000007</v>
      </c>
      <c r="M73" s="230">
        <v>31549</v>
      </c>
      <c r="N73" s="231">
        <v>8.8000000000000007</v>
      </c>
      <c r="O73" s="230">
        <v>89668</v>
      </c>
      <c r="P73" s="231">
        <v>24.9</v>
      </c>
      <c r="Q73" s="230">
        <v>55995</v>
      </c>
      <c r="R73" s="231">
        <v>23.3</v>
      </c>
      <c r="S73" s="230">
        <v>28945</v>
      </c>
      <c r="T73" s="231">
        <v>12.1</v>
      </c>
      <c r="U73" s="230">
        <v>52873</v>
      </c>
      <c r="V73" s="231">
        <v>16.5</v>
      </c>
      <c r="W73" s="230">
        <v>51252</v>
      </c>
      <c r="X73" s="231">
        <v>14.2</v>
      </c>
      <c r="Y73" s="230">
        <v>15454</v>
      </c>
      <c r="Z73" s="273">
        <v>6.4</v>
      </c>
    </row>
    <row r="74" spans="1:26" x14ac:dyDescent="0.2">
      <c r="A74" s="699"/>
      <c r="B74" s="272" t="s">
        <v>375</v>
      </c>
      <c r="C74" s="230">
        <v>4765</v>
      </c>
      <c r="D74" s="231">
        <v>29.8</v>
      </c>
      <c r="E74" s="230">
        <v>26792</v>
      </c>
      <c r="F74" s="273">
        <v>29.8</v>
      </c>
      <c r="G74" s="285">
        <v>3007</v>
      </c>
      <c r="H74" s="231">
        <v>10</v>
      </c>
      <c r="I74" s="230">
        <v>18040</v>
      </c>
      <c r="J74" s="273">
        <v>5</v>
      </c>
      <c r="K74" s="285">
        <v>23530</v>
      </c>
      <c r="L74" s="231">
        <v>9.8000000000000007</v>
      </c>
      <c r="M74" s="230">
        <v>18040</v>
      </c>
      <c r="N74" s="231">
        <v>5</v>
      </c>
      <c r="O74" s="230">
        <v>107170</v>
      </c>
      <c r="P74" s="231">
        <v>29.8</v>
      </c>
      <c r="Q74" s="230">
        <v>71482</v>
      </c>
      <c r="R74" s="231">
        <v>29.8</v>
      </c>
      <c r="S74" s="230">
        <v>71482</v>
      </c>
      <c r="T74" s="231">
        <v>29.8</v>
      </c>
      <c r="U74" s="230">
        <v>156864</v>
      </c>
      <c r="V74" s="231">
        <v>49</v>
      </c>
      <c r="W74" s="230">
        <v>36408</v>
      </c>
      <c r="X74" s="231">
        <v>10.1</v>
      </c>
      <c r="Y74" s="230">
        <v>24054</v>
      </c>
      <c r="Z74" s="273">
        <v>10</v>
      </c>
    </row>
    <row r="75" spans="1:26" x14ac:dyDescent="0.2">
      <c r="A75" s="699"/>
      <c r="B75" s="272" t="s">
        <v>376</v>
      </c>
      <c r="C75" s="230">
        <v>935</v>
      </c>
      <c r="D75" s="231">
        <v>5.8</v>
      </c>
      <c r="E75" s="230">
        <v>6570</v>
      </c>
      <c r="F75" s="273">
        <v>7.3</v>
      </c>
      <c r="G75" s="285">
        <v>7830</v>
      </c>
      <c r="H75" s="231">
        <v>26.1</v>
      </c>
      <c r="I75" s="230">
        <v>93974</v>
      </c>
      <c r="J75" s="273">
        <v>26.1</v>
      </c>
      <c r="K75" s="285">
        <v>68800</v>
      </c>
      <c r="L75" s="231">
        <v>28.7</v>
      </c>
      <c r="M75" s="230">
        <v>122166</v>
      </c>
      <c r="N75" s="231">
        <v>33.9</v>
      </c>
      <c r="O75" s="230">
        <v>292652</v>
      </c>
      <c r="P75" s="231">
        <v>81.3</v>
      </c>
      <c r="Q75" s="230">
        <v>171598</v>
      </c>
      <c r="R75" s="231">
        <v>71.5</v>
      </c>
      <c r="S75" s="230">
        <v>116800</v>
      </c>
      <c r="T75" s="231">
        <v>48.7</v>
      </c>
      <c r="U75" s="230">
        <v>82560</v>
      </c>
      <c r="V75" s="231">
        <v>25.8</v>
      </c>
      <c r="W75" s="230">
        <v>224688</v>
      </c>
      <c r="X75" s="231">
        <v>62.4</v>
      </c>
      <c r="Y75" s="230">
        <v>68904</v>
      </c>
      <c r="Z75" s="273">
        <v>28.7</v>
      </c>
    </row>
    <row r="76" spans="1:26" x14ac:dyDescent="0.2">
      <c r="A76" s="699"/>
      <c r="B76" s="272" t="s">
        <v>377</v>
      </c>
      <c r="C76" s="230">
        <v>114</v>
      </c>
      <c r="D76" s="231">
        <v>0.7</v>
      </c>
      <c r="E76" s="230">
        <v>509</v>
      </c>
      <c r="F76" s="273">
        <v>0.6</v>
      </c>
      <c r="G76" s="285">
        <v>299</v>
      </c>
      <c r="H76" s="231">
        <v>1</v>
      </c>
      <c r="I76" s="230">
        <v>7363</v>
      </c>
      <c r="J76" s="273">
        <v>2</v>
      </c>
      <c r="K76" s="285">
        <v>2042</v>
      </c>
      <c r="L76" s="231">
        <v>0.9</v>
      </c>
      <c r="M76" s="230">
        <v>8520</v>
      </c>
      <c r="N76" s="231">
        <v>2.4</v>
      </c>
      <c r="O76" s="230">
        <v>10405</v>
      </c>
      <c r="P76" s="231">
        <v>2.9</v>
      </c>
      <c r="Q76" s="230">
        <v>1791</v>
      </c>
      <c r="R76" s="231">
        <v>0.7</v>
      </c>
      <c r="S76" s="230">
        <v>5244</v>
      </c>
      <c r="T76" s="231">
        <v>2.2000000000000002</v>
      </c>
      <c r="U76" s="230">
        <v>3054</v>
      </c>
      <c r="V76" s="231">
        <v>1</v>
      </c>
      <c r="W76" s="230">
        <v>11719</v>
      </c>
      <c r="X76" s="231">
        <v>3.3</v>
      </c>
      <c r="Y76" s="230">
        <v>6208</v>
      </c>
      <c r="Z76" s="273">
        <v>2.6</v>
      </c>
    </row>
    <row r="77" spans="1:26" x14ac:dyDescent="0.2">
      <c r="A77" s="699"/>
      <c r="B77" s="272" t="s">
        <v>378</v>
      </c>
      <c r="C77" s="230">
        <v>1822</v>
      </c>
      <c r="D77" s="231">
        <v>11.4</v>
      </c>
      <c r="E77" s="230">
        <v>10253</v>
      </c>
      <c r="F77" s="273">
        <v>11.4</v>
      </c>
      <c r="G77" s="285">
        <v>7830</v>
      </c>
      <c r="H77" s="231">
        <v>26.1</v>
      </c>
      <c r="I77" s="230">
        <v>112752</v>
      </c>
      <c r="J77" s="273">
        <v>31.3</v>
      </c>
      <c r="K77" s="285">
        <v>64500</v>
      </c>
      <c r="L77" s="231">
        <v>26.9</v>
      </c>
      <c r="M77" s="230">
        <v>112752</v>
      </c>
      <c r="N77" s="231">
        <v>31.3</v>
      </c>
      <c r="O77" s="230">
        <v>210172</v>
      </c>
      <c r="P77" s="231">
        <v>58.4</v>
      </c>
      <c r="Q77" s="230">
        <v>140160</v>
      </c>
      <c r="R77" s="231">
        <v>58.4</v>
      </c>
      <c r="S77" s="230">
        <v>140160</v>
      </c>
      <c r="T77" s="231">
        <v>58.4</v>
      </c>
      <c r="U77" s="230">
        <v>82560</v>
      </c>
      <c r="V77" s="231">
        <v>25.8</v>
      </c>
      <c r="W77" s="230">
        <v>252746</v>
      </c>
      <c r="X77" s="231">
        <v>70.2</v>
      </c>
      <c r="Y77" s="230">
        <v>68904</v>
      </c>
      <c r="Z77" s="273">
        <v>28.7</v>
      </c>
    </row>
    <row r="78" spans="1:26" x14ac:dyDescent="0.2">
      <c r="A78" s="699"/>
      <c r="B78" s="272" t="s">
        <v>379</v>
      </c>
      <c r="C78" s="230">
        <v>2803</v>
      </c>
      <c r="D78" s="231">
        <v>17.5</v>
      </c>
      <c r="E78" s="230">
        <v>15768</v>
      </c>
      <c r="F78" s="273">
        <v>17.5</v>
      </c>
      <c r="G78" s="285">
        <v>1566</v>
      </c>
      <c r="H78" s="231">
        <v>5.2</v>
      </c>
      <c r="I78" s="230">
        <v>124050</v>
      </c>
      <c r="J78" s="273">
        <v>34.5</v>
      </c>
      <c r="K78" s="285">
        <v>30960</v>
      </c>
      <c r="L78" s="231">
        <v>12.9</v>
      </c>
      <c r="M78" s="230">
        <v>124050</v>
      </c>
      <c r="N78" s="231">
        <v>34.5</v>
      </c>
      <c r="O78" s="230">
        <v>168192</v>
      </c>
      <c r="P78" s="231">
        <v>46.7</v>
      </c>
      <c r="Q78" s="230">
        <v>56064</v>
      </c>
      <c r="R78" s="231">
        <v>23.4</v>
      </c>
      <c r="S78" s="230">
        <v>14016</v>
      </c>
      <c r="T78" s="231">
        <v>5.8</v>
      </c>
      <c r="U78" s="230">
        <v>8256</v>
      </c>
      <c r="V78" s="231">
        <v>2.6</v>
      </c>
      <c r="W78" s="230">
        <v>13478</v>
      </c>
      <c r="X78" s="231">
        <v>3.7</v>
      </c>
      <c r="Y78" s="230">
        <v>6890</v>
      </c>
      <c r="Z78" s="273">
        <v>2.9</v>
      </c>
    </row>
    <row r="79" spans="1:26" x14ac:dyDescent="0.2">
      <c r="A79" s="699"/>
      <c r="B79" s="272" t="s">
        <v>380</v>
      </c>
      <c r="C79" s="230">
        <v>0</v>
      </c>
      <c r="D79" s="231">
        <v>0</v>
      </c>
      <c r="E79" s="235">
        <v>0</v>
      </c>
      <c r="F79" s="273">
        <v>0</v>
      </c>
      <c r="G79" s="285">
        <v>0</v>
      </c>
      <c r="H79" s="231">
        <v>0</v>
      </c>
      <c r="I79" s="230">
        <v>0</v>
      </c>
      <c r="J79" s="273">
        <v>0</v>
      </c>
      <c r="K79" s="285">
        <v>0</v>
      </c>
      <c r="L79" s="231">
        <v>0</v>
      </c>
      <c r="M79" s="230">
        <v>0</v>
      </c>
      <c r="N79" s="231">
        <v>0</v>
      </c>
      <c r="O79" s="230">
        <v>0</v>
      </c>
      <c r="P79" s="231">
        <v>0</v>
      </c>
      <c r="Q79" s="230">
        <v>0</v>
      </c>
      <c r="R79" s="231">
        <v>0</v>
      </c>
      <c r="S79" s="230">
        <v>0</v>
      </c>
      <c r="T79" s="231">
        <v>0</v>
      </c>
      <c r="U79" s="230">
        <v>0</v>
      </c>
      <c r="V79" s="231">
        <v>0</v>
      </c>
      <c r="W79" s="230">
        <v>0</v>
      </c>
      <c r="X79" s="231">
        <v>0</v>
      </c>
      <c r="Y79" s="230">
        <v>0</v>
      </c>
      <c r="Z79" s="273">
        <v>0</v>
      </c>
    </row>
    <row r="80" spans="1:26" x14ac:dyDescent="0.2">
      <c r="A80" s="699"/>
      <c r="B80" s="272" t="s">
        <v>381</v>
      </c>
      <c r="C80" s="230">
        <v>0</v>
      </c>
      <c r="D80" s="231">
        <v>0</v>
      </c>
      <c r="E80" s="235">
        <v>0</v>
      </c>
      <c r="F80" s="273">
        <v>0</v>
      </c>
      <c r="G80" s="285">
        <v>0</v>
      </c>
      <c r="H80" s="231">
        <v>0</v>
      </c>
      <c r="I80" s="230">
        <v>20235</v>
      </c>
      <c r="J80" s="273">
        <v>5.6</v>
      </c>
      <c r="K80" s="285">
        <v>0</v>
      </c>
      <c r="L80" s="231">
        <v>0</v>
      </c>
      <c r="M80" s="230">
        <v>26017</v>
      </c>
      <c r="N80" s="231">
        <v>7.2</v>
      </c>
      <c r="O80" s="230">
        <v>51513</v>
      </c>
      <c r="P80" s="231">
        <v>14.3</v>
      </c>
      <c r="Q80" s="230">
        <v>0</v>
      </c>
      <c r="R80" s="231">
        <v>0</v>
      </c>
      <c r="S80" s="230">
        <v>22800</v>
      </c>
      <c r="T80" s="231">
        <v>9.5</v>
      </c>
      <c r="U80" s="230">
        <v>0</v>
      </c>
      <c r="V80" s="231">
        <v>0</v>
      </c>
      <c r="W80" s="230">
        <v>53219</v>
      </c>
      <c r="X80" s="231">
        <v>14.8</v>
      </c>
      <c r="Y80" s="230">
        <v>17590</v>
      </c>
      <c r="Z80" s="273">
        <v>7.3</v>
      </c>
    </row>
    <row r="81" spans="1:26" s="20" customFormat="1" x14ac:dyDescent="0.2">
      <c r="A81" s="699"/>
      <c r="B81" s="274" t="s">
        <v>382</v>
      </c>
      <c r="C81" s="275">
        <v>27573</v>
      </c>
      <c r="D81" s="276">
        <v>172.3</v>
      </c>
      <c r="E81" s="277">
        <v>140902</v>
      </c>
      <c r="F81" s="287">
        <v>156.6</v>
      </c>
      <c r="G81" s="286">
        <v>47492</v>
      </c>
      <c r="H81" s="276">
        <v>158.30000000000001</v>
      </c>
      <c r="I81" s="275">
        <v>531467</v>
      </c>
      <c r="J81" s="279">
        <v>147.6</v>
      </c>
      <c r="K81" s="286">
        <v>339481</v>
      </c>
      <c r="L81" s="276">
        <v>141.5</v>
      </c>
      <c r="M81" s="275">
        <v>589194</v>
      </c>
      <c r="N81" s="276">
        <v>163.69999999999999</v>
      </c>
      <c r="O81" s="275">
        <v>1194980</v>
      </c>
      <c r="P81" s="276">
        <v>331.9</v>
      </c>
      <c r="Q81" s="275">
        <v>652557</v>
      </c>
      <c r="R81" s="276">
        <v>271.89999999999998</v>
      </c>
      <c r="S81" s="275">
        <v>587728</v>
      </c>
      <c r="T81" s="276">
        <v>244.9</v>
      </c>
      <c r="U81" s="275">
        <v>631122</v>
      </c>
      <c r="V81" s="276">
        <v>197.2</v>
      </c>
      <c r="W81" s="275">
        <v>823938</v>
      </c>
      <c r="X81" s="276">
        <v>228.9</v>
      </c>
      <c r="Y81" s="275">
        <v>405122</v>
      </c>
      <c r="Z81" s="279">
        <v>168.8</v>
      </c>
    </row>
    <row r="82" spans="1:26" s="216" customFormat="1" x14ac:dyDescent="0.2">
      <c r="A82" s="699"/>
      <c r="B82" s="283" t="s">
        <v>491</v>
      </c>
      <c r="C82" s="289" t="s">
        <v>372</v>
      </c>
      <c r="D82" s="291" t="s">
        <v>397</v>
      </c>
      <c r="E82" s="289" t="s">
        <v>372</v>
      </c>
      <c r="F82" s="291" t="s">
        <v>397</v>
      </c>
      <c r="G82" s="289" t="s">
        <v>372</v>
      </c>
      <c r="H82" s="291" t="s">
        <v>397</v>
      </c>
      <c r="I82" s="289" t="s">
        <v>372</v>
      </c>
      <c r="J82" s="291" t="s">
        <v>397</v>
      </c>
      <c r="K82" s="289" t="s">
        <v>372</v>
      </c>
      <c r="L82" s="291" t="s">
        <v>397</v>
      </c>
      <c r="M82" s="289" t="s">
        <v>372</v>
      </c>
      <c r="N82" s="291" t="s">
        <v>397</v>
      </c>
      <c r="O82" s="289" t="s">
        <v>372</v>
      </c>
      <c r="P82" s="291" t="s">
        <v>397</v>
      </c>
      <c r="Q82" s="289" t="s">
        <v>372</v>
      </c>
      <c r="R82" s="291" t="s">
        <v>397</v>
      </c>
      <c r="S82" s="289" t="s">
        <v>372</v>
      </c>
      <c r="T82" s="291" t="s">
        <v>397</v>
      </c>
      <c r="U82" s="289" t="s">
        <v>372</v>
      </c>
      <c r="V82" s="291" t="s">
        <v>397</v>
      </c>
      <c r="W82" s="289" t="s">
        <v>372</v>
      </c>
      <c r="X82" s="291" t="s">
        <v>397</v>
      </c>
      <c r="Y82" s="289" t="s">
        <v>372</v>
      </c>
      <c r="Z82" s="291" t="s">
        <v>397</v>
      </c>
    </row>
    <row r="83" spans="1:26" x14ac:dyDescent="0.2">
      <c r="A83" s="699"/>
      <c r="B83" s="272" t="s">
        <v>373</v>
      </c>
      <c r="C83" s="230">
        <f>C$6-C72</f>
        <v>1325</v>
      </c>
      <c r="D83" s="293">
        <f t="shared" ref="D83:Z83" si="20">D$6-D72</f>
        <v>8.3000000000000114</v>
      </c>
      <c r="E83" s="230">
        <f t="shared" si="20"/>
        <v>3347</v>
      </c>
      <c r="F83" s="293">
        <f t="shared" si="20"/>
        <v>3.7000000000000028</v>
      </c>
      <c r="G83" s="230">
        <f t="shared" si="20"/>
        <v>6037</v>
      </c>
      <c r="H83" s="293">
        <f t="shared" si="20"/>
        <v>20.100000000000009</v>
      </c>
      <c r="I83" s="230">
        <f t="shared" si="20"/>
        <v>19975</v>
      </c>
      <c r="J83" s="293">
        <f t="shared" si="20"/>
        <v>5.5</v>
      </c>
      <c r="K83" s="230">
        <f t="shared" si="20"/>
        <v>21605</v>
      </c>
      <c r="L83" s="293">
        <f t="shared" si="20"/>
        <v>9</v>
      </c>
      <c r="M83" s="230">
        <f t="shared" si="20"/>
        <v>21683</v>
      </c>
      <c r="N83" s="293">
        <f t="shared" si="20"/>
        <v>6</v>
      </c>
      <c r="O83" s="230">
        <f t="shared" si="20"/>
        <v>26165</v>
      </c>
      <c r="P83" s="293">
        <f t="shared" si="20"/>
        <v>7.2000000000000028</v>
      </c>
      <c r="Q83" s="230">
        <f t="shared" si="20"/>
        <v>24181</v>
      </c>
      <c r="R83" s="293">
        <f t="shared" si="20"/>
        <v>10.100000000000009</v>
      </c>
      <c r="S83" s="230">
        <f t="shared" si="20"/>
        <v>28518</v>
      </c>
      <c r="T83" s="293">
        <f t="shared" si="20"/>
        <v>11.799999999999997</v>
      </c>
      <c r="U83" s="230">
        <f t="shared" si="20"/>
        <v>53700</v>
      </c>
      <c r="V83" s="293">
        <f t="shared" si="20"/>
        <v>16.799999999999997</v>
      </c>
      <c r="W83" s="230">
        <f t="shared" si="20"/>
        <v>36830</v>
      </c>
      <c r="X83" s="293">
        <f t="shared" si="20"/>
        <v>10.199999999999996</v>
      </c>
      <c r="Y83" s="230">
        <f t="shared" si="20"/>
        <v>24288</v>
      </c>
      <c r="Z83" s="293">
        <f t="shared" si="20"/>
        <v>10.200000000000003</v>
      </c>
    </row>
    <row r="84" spans="1:26" x14ac:dyDescent="0.2">
      <c r="A84" s="699"/>
      <c r="B84" s="272" t="s">
        <v>374</v>
      </c>
      <c r="C84" s="230">
        <f t="shared" ref="C84:Z84" si="21">C$7-C73</f>
        <v>0</v>
      </c>
      <c r="D84" s="293">
        <f t="shared" si="21"/>
        <v>0</v>
      </c>
      <c r="E84" s="230">
        <f t="shared" si="21"/>
        <v>0</v>
      </c>
      <c r="F84" s="293">
        <f t="shared" si="21"/>
        <v>0</v>
      </c>
      <c r="G84" s="230">
        <f t="shared" si="21"/>
        <v>10</v>
      </c>
      <c r="H84" s="293">
        <f t="shared" si="21"/>
        <v>0</v>
      </c>
      <c r="I84" s="230">
        <f t="shared" si="21"/>
        <v>82</v>
      </c>
      <c r="J84" s="293">
        <f t="shared" si="21"/>
        <v>0</v>
      </c>
      <c r="K84" s="230">
        <f t="shared" si="21"/>
        <v>39</v>
      </c>
      <c r="L84" s="293">
        <f t="shared" si="21"/>
        <v>0</v>
      </c>
      <c r="M84" s="230">
        <f t="shared" si="21"/>
        <v>64</v>
      </c>
      <c r="N84" s="293">
        <f t="shared" si="21"/>
        <v>0</v>
      </c>
      <c r="O84" s="230">
        <f t="shared" si="21"/>
        <v>497</v>
      </c>
      <c r="P84" s="293">
        <f t="shared" si="21"/>
        <v>0.10000000000000142</v>
      </c>
      <c r="Q84" s="230">
        <f t="shared" si="21"/>
        <v>587</v>
      </c>
      <c r="R84" s="293">
        <f t="shared" si="21"/>
        <v>0.30000000000000071</v>
      </c>
      <c r="S84" s="230">
        <f t="shared" si="21"/>
        <v>26</v>
      </c>
      <c r="T84" s="293">
        <f t="shared" si="21"/>
        <v>0</v>
      </c>
      <c r="U84" s="230">
        <f t="shared" si="21"/>
        <v>369</v>
      </c>
      <c r="V84" s="293">
        <f t="shared" si="21"/>
        <v>0.10000000000000142</v>
      </c>
      <c r="W84" s="230">
        <f t="shared" si="21"/>
        <v>102</v>
      </c>
      <c r="X84" s="293">
        <f t="shared" si="21"/>
        <v>0.10000000000000142</v>
      </c>
      <c r="Y84" s="230">
        <f t="shared" si="21"/>
        <v>15</v>
      </c>
      <c r="Z84" s="293">
        <f t="shared" si="21"/>
        <v>0</v>
      </c>
    </row>
    <row r="85" spans="1:26" x14ac:dyDescent="0.2">
      <c r="A85" s="699"/>
      <c r="B85" s="272" t="s">
        <v>375</v>
      </c>
      <c r="C85" s="230">
        <f>C$8-C74</f>
        <v>0</v>
      </c>
      <c r="D85" s="293">
        <f t="shared" ref="D85:Z85" si="22">D$8-D74</f>
        <v>0</v>
      </c>
      <c r="E85" s="230">
        <f t="shared" si="22"/>
        <v>0</v>
      </c>
      <c r="F85" s="293">
        <f t="shared" si="22"/>
        <v>0</v>
      </c>
      <c r="G85" s="230">
        <f t="shared" si="22"/>
        <v>0</v>
      </c>
      <c r="H85" s="293">
        <f t="shared" si="22"/>
        <v>0</v>
      </c>
      <c r="I85" s="230">
        <f t="shared" si="22"/>
        <v>0</v>
      </c>
      <c r="J85" s="293">
        <f t="shared" si="22"/>
        <v>0</v>
      </c>
      <c r="K85" s="230">
        <f t="shared" si="22"/>
        <v>0</v>
      </c>
      <c r="L85" s="293">
        <f t="shared" si="22"/>
        <v>0</v>
      </c>
      <c r="M85" s="230">
        <f t="shared" si="22"/>
        <v>0</v>
      </c>
      <c r="N85" s="293">
        <f t="shared" si="22"/>
        <v>0</v>
      </c>
      <c r="O85" s="230">
        <f t="shared" si="22"/>
        <v>0</v>
      </c>
      <c r="P85" s="293">
        <f t="shared" si="22"/>
        <v>0</v>
      </c>
      <c r="Q85" s="230">
        <f t="shared" si="22"/>
        <v>0</v>
      </c>
      <c r="R85" s="293">
        <f t="shared" si="22"/>
        <v>0</v>
      </c>
      <c r="S85" s="230">
        <f t="shared" si="22"/>
        <v>0</v>
      </c>
      <c r="T85" s="293">
        <f t="shared" si="22"/>
        <v>0</v>
      </c>
      <c r="U85" s="230">
        <f t="shared" si="22"/>
        <v>0</v>
      </c>
      <c r="V85" s="293">
        <f t="shared" si="22"/>
        <v>0</v>
      </c>
      <c r="W85" s="230">
        <f t="shared" si="22"/>
        <v>0</v>
      </c>
      <c r="X85" s="293">
        <f t="shared" si="22"/>
        <v>0</v>
      </c>
      <c r="Y85" s="230">
        <f t="shared" si="22"/>
        <v>0</v>
      </c>
      <c r="Z85" s="293">
        <f t="shared" si="22"/>
        <v>0</v>
      </c>
    </row>
    <row r="86" spans="1:26" x14ac:dyDescent="0.2">
      <c r="A86" s="699"/>
      <c r="B86" s="272" t="s">
        <v>376</v>
      </c>
      <c r="C86" s="230">
        <f t="shared" ref="C86:Z86" si="23">C$9-C75</f>
        <v>0</v>
      </c>
      <c r="D86" s="293">
        <f t="shared" si="23"/>
        <v>0</v>
      </c>
      <c r="E86" s="230">
        <f t="shared" si="23"/>
        <v>0</v>
      </c>
      <c r="F86" s="293">
        <f t="shared" si="23"/>
        <v>0</v>
      </c>
      <c r="G86" s="230">
        <f t="shared" si="23"/>
        <v>0</v>
      </c>
      <c r="H86" s="293">
        <f t="shared" si="23"/>
        <v>0</v>
      </c>
      <c r="I86" s="230">
        <f t="shared" si="23"/>
        <v>0</v>
      </c>
      <c r="J86" s="293">
        <f t="shared" si="23"/>
        <v>0</v>
      </c>
      <c r="K86" s="230">
        <f t="shared" si="23"/>
        <v>0</v>
      </c>
      <c r="L86" s="293">
        <f t="shared" si="23"/>
        <v>0</v>
      </c>
      <c r="M86" s="230">
        <f t="shared" si="23"/>
        <v>0</v>
      </c>
      <c r="N86" s="293">
        <f t="shared" si="23"/>
        <v>0</v>
      </c>
      <c r="O86" s="230">
        <f t="shared" si="23"/>
        <v>0</v>
      </c>
      <c r="P86" s="293">
        <f t="shared" si="23"/>
        <v>0</v>
      </c>
      <c r="Q86" s="230">
        <f t="shared" si="23"/>
        <v>0</v>
      </c>
      <c r="R86" s="293">
        <f t="shared" si="23"/>
        <v>0</v>
      </c>
      <c r="S86" s="230">
        <f t="shared" si="23"/>
        <v>0</v>
      </c>
      <c r="T86" s="293">
        <f t="shared" si="23"/>
        <v>0</v>
      </c>
      <c r="U86" s="230">
        <f t="shared" si="23"/>
        <v>0</v>
      </c>
      <c r="V86" s="293">
        <f t="shared" si="23"/>
        <v>0</v>
      </c>
      <c r="W86" s="230">
        <f t="shared" si="23"/>
        <v>0</v>
      </c>
      <c r="X86" s="293">
        <f t="shared" si="23"/>
        <v>0</v>
      </c>
      <c r="Y86" s="230">
        <f t="shared" si="23"/>
        <v>0</v>
      </c>
      <c r="Z86" s="293">
        <f t="shared" si="23"/>
        <v>0</v>
      </c>
    </row>
    <row r="87" spans="1:26" x14ac:dyDescent="0.2">
      <c r="A87" s="699"/>
      <c r="B87" s="272" t="s">
        <v>377</v>
      </c>
      <c r="C87" s="230">
        <f t="shared" ref="C87:Z87" si="24">C$10-C76</f>
        <v>5</v>
      </c>
      <c r="D87" s="293">
        <f t="shared" si="24"/>
        <v>0</v>
      </c>
      <c r="E87" s="230">
        <f t="shared" si="24"/>
        <v>12</v>
      </c>
      <c r="F87" s="293">
        <f t="shared" si="24"/>
        <v>0</v>
      </c>
      <c r="G87" s="230">
        <f t="shared" si="24"/>
        <v>22</v>
      </c>
      <c r="H87" s="293">
        <f t="shared" si="24"/>
        <v>0.10000000000000009</v>
      </c>
      <c r="I87" s="230">
        <f t="shared" si="24"/>
        <v>78</v>
      </c>
      <c r="J87" s="293">
        <f t="shared" si="24"/>
        <v>0.10000000000000009</v>
      </c>
      <c r="K87" s="230">
        <f t="shared" si="24"/>
        <v>77</v>
      </c>
      <c r="L87" s="293">
        <f t="shared" si="24"/>
        <v>0</v>
      </c>
      <c r="M87" s="230">
        <f t="shared" si="24"/>
        <v>78</v>
      </c>
      <c r="N87" s="293">
        <f t="shared" si="24"/>
        <v>0</v>
      </c>
      <c r="O87" s="230">
        <f t="shared" si="24"/>
        <v>76</v>
      </c>
      <c r="P87" s="293">
        <f t="shared" si="24"/>
        <v>0</v>
      </c>
      <c r="Q87" s="230">
        <f t="shared" si="24"/>
        <v>87</v>
      </c>
      <c r="R87" s="293">
        <f t="shared" si="24"/>
        <v>0.10000000000000009</v>
      </c>
      <c r="S87" s="230">
        <f t="shared" si="24"/>
        <v>92</v>
      </c>
      <c r="T87" s="293">
        <f t="shared" si="24"/>
        <v>0</v>
      </c>
      <c r="U87" s="230">
        <f t="shared" si="24"/>
        <v>208</v>
      </c>
      <c r="V87" s="293">
        <f t="shared" si="24"/>
        <v>0</v>
      </c>
      <c r="W87" s="230">
        <f t="shared" si="24"/>
        <v>228</v>
      </c>
      <c r="X87" s="293">
        <f t="shared" si="24"/>
        <v>0</v>
      </c>
      <c r="Y87" s="230">
        <f t="shared" si="24"/>
        <v>80</v>
      </c>
      <c r="Z87" s="293">
        <f t="shared" si="24"/>
        <v>0</v>
      </c>
    </row>
    <row r="88" spans="1:26" x14ac:dyDescent="0.2">
      <c r="A88" s="699"/>
      <c r="B88" s="272" t="s">
        <v>378</v>
      </c>
      <c r="C88" s="230">
        <f t="shared" ref="C88:Z88" si="25">C$11-C77</f>
        <v>0</v>
      </c>
      <c r="D88" s="293">
        <f t="shared" si="25"/>
        <v>0</v>
      </c>
      <c r="E88" s="230">
        <f t="shared" si="25"/>
        <v>0</v>
      </c>
      <c r="F88" s="293">
        <f t="shared" si="25"/>
        <v>0</v>
      </c>
      <c r="G88" s="230">
        <f t="shared" si="25"/>
        <v>0</v>
      </c>
      <c r="H88" s="293">
        <f t="shared" si="25"/>
        <v>0</v>
      </c>
      <c r="I88" s="230">
        <f t="shared" si="25"/>
        <v>0</v>
      </c>
      <c r="J88" s="293">
        <f t="shared" si="25"/>
        <v>0</v>
      </c>
      <c r="K88" s="230">
        <f t="shared" si="25"/>
        <v>0</v>
      </c>
      <c r="L88" s="293">
        <f t="shared" si="25"/>
        <v>0</v>
      </c>
      <c r="M88" s="230">
        <f t="shared" si="25"/>
        <v>0</v>
      </c>
      <c r="N88" s="293">
        <f t="shared" si="25"/>
        <v>0</v>
      </c>
      <c r="O88" s="230">
        <f t="shared" si="25"/>
        <v>0</v>
      </c>
      <c r="P88" s="293">
        <f t="shared" si="25"/>
        <v>0</v>
      </c>
      <c r="Q88" s="230">
        <f t="shared" si="25"/>
        <v>0</v>
      </c>
      <c r="R88" s="293">
        <f t="shared" si="25"/>
        <v>0</v>
      </c>
      <c r="S88" s="230">
        <f t="shared" si="25"/>
        <v>0</v>
      </c>
      <c r="T88" s="293">
        <f t="shared" si="25"/>
        <v>0</v>
      </c>
      <c r="U88" s="230">
        <f t="shared" si="25"/>
        <v>0</v>
      </c>
      <c r="V88" s="293">
        <f t="shared" si="25"/>
        <v>0</v>
      </c>
      <c r="W88" s="230">
        <f t="shared" si="25"/>
        <v>0</v>
      </c>
      <c r="X88" s="293">
        <f t="shared" si="25"/>
        <v>0</v>
      </c>
      <c r="Y88" s="230">
        <f t="shared" si="25"/>
        <v>0</v>
      </c>
      <c r="Z88" s="293">
        <f t="shared" si="25"/>
        <v>0</v>
      </c>
    </row>
    <row r="89" spans="1:26" x14ac:dyDescent="0.2">
      <c r="A89" s="699"/>
      <c r="B89" s="272" t="s">
        <v>379</v>
      </c>
      <c r="C89" s="230">
        <f t="shared" ref="C89:Z89" si="26">C$12-C78</f>
        <v>0</v>
      </c>
      <c r="D89" s="293">
        <f t="shared" si="26"/>
        <v>0</v>
      </c>
      <c r="E89" s="230">
        <f t="shared" si="26"/>
        <v>0</v>
      </c>
      <c r="F89" s="293">
        <f t="shared" si="26"/>
        <v>0</v>
      </c>
      <c r="G89" s="230">
        <f t="shared" si="26"/>
        <v>0</v>
      </c>
      <c r="H89" s="293">
        <f t="shared" si="26"/>
        <v>0</v>
      </c>
      <c r="I89" s="230">
        <f t="shared" si="26"/>
        <v>0</v>
      </c>
      <c r="J89" s="293">
        <f t="shared" si="26"/>
        <v>0</v>
      </c>
      <c r="K89" s="230">
        <f t="shared" si="26"/>
        <v>0</v>
      </c>
      <c r="L89" s="293">
        <f t="shared" si="26"/>
        <v>0</v>
      </c>
      <c r="M89" s="230">
        <f t="shared" si="26"/>
        <v>0</v>
      </c>
      <c r="N89" s="293">
        <f t="shared" si="26"/>
        <v>0</v>
      </c>
      <c r="O89" s="230">
        <f t="shared" si="26"/>
        <v>0</v>
      </c>
      <c r="P89" s="293">
        <f t="shared" si="26"/>
        <v>0</v>
      </c>
      <c r="Q89" s="230">
        <f t="shared" si="26"/>
        <v>0</v>
      </c>
      <c r="R89" s="293">
        <f t="shared" si="26"/>
        <v>0</v>
      </c>
      <c r="S89" s="230">
        <f t="shared" si="26"/>
        <v>0</v>
      </c>
      <c r="T89" s="293">
        <f t="shared" si="26"/>
        <v>0</v>
      </c>
      <c r="U89" s="230">
        <f t="shared" si="26"/>
        <v>0</v>
      </c>
      <c r="V89" s="293">
        <f t="shared" si="26"/>
        <v>0</v>
      </c>
      <c r="W89" s="230">
        <f t="shared" si="26"/>
        <v>0</v>
      </c>
      <c r="X89" s="293">
        <f t="shared" si="26"/>
        <v>0</v>
      </c>
      <c r="Y89" s="230">
        <f t="shared" si="26"/>
        <v>0</v>
      </c>
      <c r="Z89" s="293">
        <f t="shared" si="26"/>
        <v>0</v>
      </c>
    </row>
    <row r="90" spans="1:26" x14ac:dyDescent="0.2">
      <c r="A90" s="699"/>
      <c r="B90" s="272" t="s">
        <v>380</v>
      </c>
      <c r="C90" s="230">
        <f t="shared" ref="C90:Z90" si="27">C$13-C79</f>
        <v>0</v>
      </c>
      <c r="D90" s="293">
        <f t="shared" si="27"/>
        <v>0</v>
      </c>
      <c r="E90" s="230">
        <f t="shared" si="27"/>
        <v>0</v>
      </c>
      <c r="F90" s="293">
        <f t="shared" si="27"/>
        <v>0</v>
      </c>
      <c r="G90" s="230">
        <f t="shared" si="27"/>
        <v>0</v>
      </c>
      <c r="H90" s="293">
        <f t="shared" si="27"/>
        <v>0</v>
      </c>
      <c r="I90" s="230">
        <f t="shared" si="27"/>
        <v>0</v>
      </c>
      <c r="J90" s="293">
        <f t="shared" si="27"/>
        <v>0</v>
      </c>
      <c r="K90" s="230">
        <f t="shared" si="27"/>
        <v>0</v>
      </c>
      <c r="L90" s="293">
        <f t="shared" si="27"/>
        <v>0</v>
      </c>
      <c r="M90" s="230">
        <f t="shared" si="27"/>
        <v>0</v>
      </c>
      <c r="N90" s="293">
        <f t="shared" si="27"/>
        <v>0</v>
      </c>
      <c r="O90" s="230">
        <f t="shared" si="27"/>
        <v>0</v>
      </c>
      <c r="P90" s="293">
        <f t="shared" si="27"/>
        <v>0</v>
      </c>
      <c r="Q90" s="230">
        <f t="shared" si="27"/>
        <v>0</v>
      </c>
      <c r="R90" s="293">
        <f t="shared" si="27"/>
        <v>0</v>
      </c>
      <c r="S90" s="230">
        <f t="shared" si="27"/>
        <v>0</v>
      </c>
      <c r="T90" s="293">
        <f t="shared" si="27"/>
        <v>0</v>
      </c>
      <c r="U90" s="230">
        <f t="shared" si="27"/>
        <v>0</v>
      </c>
      <c r="V90" s="293">
        <f t="shared" si="27"/>
        <v>0</v>
      </c>
      <c r="W90" s="230">
        <f t="shared" si="27"/>
        <v>0</v>
      </c>
      <c r="X90" s="293">
        <f t="shared" si="27"/>
        <v>0</v>
      </c>
      <c r="Y90" s="230">
        <f t="shared" si="27"/>
        <v>0</v>
      </c>
      <c r="Z90" s="293">
        <f t="shared" si="27"/>
        <v>0</v>
      </c>
    </row>
    <row r="91" spans="1:26" x14ac:dyDescent="0.2">
      <c r="A91" s="699"/>
      <c r="B91" s="272" t="s">
        <v>381</v>
      </c>
      <c r="C91" s="230">
        <f t="shared" ref="C91:Z91" si="28">C$14-C80</f>
        <v>0</v>
      </c>
      <c r="D91" s="293">
        <f t="shared" si="28"/>
        <v>0</v>
      </c>
      <c r="E91" s="230">
        <f t="shared" si="28"/>
        <v>0</v>
      </c>
      <c r="F91" s="293">
        <f t="shared" si="28"/>
        <v>0</v>
      </c>
      <c r="G91" s="230">
        <f t="shared" si="28"/>
        <v>0</v>
      </c>
      <c r="H91" s="293">
        <f t="shared" si="28"/>
        <v>0</v>
      </c>
      <c r="I91" s="230">
        <f t="shared" si="28"/>
        <v>0</v>
      </c>
      <c r="J91" s="293">
        <f t="shared" si="28"/>
        <v>0</v>
      </c>
      <c r="K91" s="230">
        <f t="shared" si="28"/>
        <v>0</v>
      </c>
      <c r="L91" s="293">
        <f t="shared" si="28"/>
        <v>0</v>
      </c>
      <c r="M91" s="230">
        <f t="shared" si="28"/>
        <v>0</v>
      </c>
      <c r="N91" s="293">
        <f t="shared" si="28"/>
        <v>0</v>
      </c>
      <c r="O91" s="230">
        <f t="shared" si="28"/>
        <v>0</v>
      </c>
      <c r="P91" s="293">
        <f t="shared" si="28"/>
        <v>0</v>
      </c>
      <c r="Q91" s="230">
        <f t="shared" si="28"/>
        <v>0</v>
      </c>
      <c r="R91" s="293">
        <f t="shared" si="28"/>
        <v>0</v>
      </c>
      <c r="S91" s="230">
        <f t="shared" si="28"/>
        <v>0</v>
      </c>
      <c r="T91" s="293">
        <f t="shared" si="28"/>
        <v>0</v>
      </c>
      <c r="U91" s="230">
        <f t="shared" si="28"/>
        <v>0</v>
      </c>
      <c r="V91" s="293">
        <f t="shared" si="28"/>
        <v>0</v>
      </c>
      <c r="W91" s="230">
        <f t="shared" si="28"/>
        <v>0</v>
      </c>
      <c r="X91" s="293">
        <f t="shared" si="28"/>
        <v>0</v>
      </c>
      <c r="Y91" s="230">
        <f t="shared" si="28"/>
        <v>0</v>
      </c>
      <c r="Z91" s="293">
        <f t="shared" si="28"/>
        <v>0</v>
      </c>
    </row>
    <row r="92" spans="1:26" s="20" customFormat="1" x14ac:dyDescent="0.2">
      <c r="A92" s="700"/>
      <c r="B92" s="274" t="s">
        <v>382</v>
      </c>
      <c r="C92" s="275">
        <f t="shared" ref="C92:Z92" si="29">C$15-C81</f>
        <v>1329</v>
      </c>
      <c r="D92" s="294">
        <f t="shared" si="29"/>
        <v>8.2999999999999829</v>
      </c>
      <c r="E92" s="275">
        <f t="shared" si="29"/>
        <v>3358</v>
      </c>
      <c r="F92" s="294">
        <f t="shared" si="29"/>
        <v>3.7000000000000171</v>
      </c>
      <c r="G92" s="275">
        <f t="shared" si="29"/>
        <v>6068</v>
      </c>
      <c r="H92" s="294">
        <f t="shared" si="29"/>
        <v>20.199999999999989</v>
      </c>
      <c r="I92" s="275">
        <f t="shared" si="29"/>
        <v>20134</v>
      </c>
      <c r="J92" s="294">
        <f t="shared" si="29"/>
        <v>5.5999999999999943</v>
      </c>
      <c r="K92" s="275">
        <f t="shared" si="29"/>
        <v>21722</v>
      </c>
      <c r="L92" s="294">
        <f t="shared" si="29"/>
        <v>9</v>
      </c>
      <c r="M92" s="275">
        <f t="shared" si="29"/>
        <v>21826</v>
      </c>
      <c r="N92" s="294">
        <f t="shared" si="29"/>
        <v>6</v>
      </c>
      <c r="O92" s="275">
        <f t="shared" si="29"/>
        <v>26737</v>
      </c>
      <c r="P92" s="294">
        <f t="shared" si="29"/>
        <v>7.5</v>
      </c>
      <c r="Q92" s="275">
        <f t="shared" si="29"/>
        <v>24855</v>
      </c>
      <c r="R92" s="294">
        <f t="shared" si="29"/>
        <v>10.400000000000034</v>
      </c>
      <c r="S92" s="275">
        <f t="shared" si="29"/>
        <v>28637</v>
      </c>
      <c r="T92" s="294">
        <f t="shared" si="29"/>
        <v>11.900000000000006</v>
      </c>
      <c r="U92" s="275">
        <f t="shared" si="29"/>
        <v>54278</v>
      </c>
      <c r="V92" s="294">
        <f t="shared" si="29"/>
        <v>17</v>
      </c>
      <c r="W92" s="275">
        <f t="shared" si="29"/>
        <v>37161</v>
      </c>
      <c r="X92" s="294">
        <f t="shared" si="29"/>
        <v>10.299999999999983</v>
      </c>
      <c r="Y92" s="275">
        <f t="shared" si="29"/>
        <v>24383</v>
      </c>
      <c r="Z92" s="294">
        <f t="shared" si="29"/>
        <v>10.199999999999989</v>
      </c>
    </row>
    <row r="93" spans="1:26" s="20" customFormat="1" x14ac:dyDescent="0.2">
      <c r="A93" s="266"/>
      <c r="B93" s="227"/>
      <c r="C93" s="267"/>
      <c r="D93" s="232"/>
      <c r="E93" s="268"/>
      <c r="F93" s="237"/>
      <c r="G93" s="267"/>
      <c r="H93" s="232"/>
      <c r="I93" s="267"/>
      <c r="J93" s="232"/>
      <c r="K93" s="267"/>
      <c r="L93" s="232"/>
      <c r="M93" s="267"/>
      <c r="N93" s="232"/>
      <c r="O93" s="267"/>
      <c r="P93" s="232"/>
      <c r="Q93" s="267"/>
      <c r="R93" s="232"/>
      <c r="S93" s="267"/>
      <c r="T93" s="232"/>
      <c r="U93" s="267"/>
      <c r="V93" s="232"/>
      <c r="W93" s="267"/>
      <c r="X93" s="232"/>
      <c r="Y93" s="267"/>
      <c r="Z93" s="232"/>
    </row>
    <row r="94" spans="1:26" s="202" customFormat="1" ht="13.15" customHeight="1" x14ac:dyDescent="0.2">
      <c r="A94" s="698" t="s">
        <v>513</v>
      </c>
      <c r="B94" s="269" t="s">
        <v>488</v>
      </c>
      <c r="C94" s="304" t="s">
        <v>486</v>
      </c>
      <c r="D94" s="314" t="s">
        <v>487</v>
      </c>
      <c r="E94" s="382" t="s">
        <v>486</v>
      </c>
      <c r="F94" s="280" t="s">
        <v>487</v>
      </c>
      <c r="G94" s="304" t="s">
        <v>486</v>
      </c>
      <c r="H94" s="280" t="s">
        <v>487</v>
      </c>
      <c r="I94" s="304" t="s">
        <v>486</v>
      </c>
      <c r="J94" s="280" t="s">
        <v>487</v>
      </c>
      <c r="K94" s="304" t="s">
        <v>486</v>
      </c>
      <c r="L94" s="314" t="s">
        <v>487</v>
      </c>
      <c r="M94" s="382" t="s">
        <v>486</v>
      </c>
      <c r="N94" s="280" t="s">
        <v>487</v>
      </c>
      <c r="O94" s="304" t="s">
        <v>486</v>
      </c>
      <c r="P94" s="314" t="s">
        <v>487</v>
      </c>
      <c r="Q94" s="382" t="s">
        <v>486</v>
      </c>
      <c r="R94" s="280" t="s">
        <v>487</v>
      </c>
      <c r="S94" s="304" t="s">
        <v>486</v>
      </c>
      <c r="T94" s="314" t="s">
        <v>487</v>
      </c>
      <c r="U94" s="382" t="s">
        <v>486</v>
      </c>
      <c r="V94" s="280" t="s">
        <v>487</v>
      </c>
      <c r="W94" s="304" t="s">
        <v>486</v>
      </c>
      <c r="X94" s="280" t="s">
        <v>487</v>
      </c>
      <c r="Y94" s="304" t="s">
        <v>486</v>
      </c>
      <c r="Z94" s="314" t="s">
        <v>487</v>
      </c>
    </row>
    <row r="95" spans="1:26" x14ac:dyDescent="0.2">
      <c r="A95" s="699"/>
      <c r="B95" s="144" t="s">
        <v>265</v>
      </c>
      <c r="C95" s="367">
        <f>'6 Oversikt startpunkt'!B11</f>
        <v>2.4</v>
      </c>
      <c r="D95" s="399">
        <f>'7 Passivhusnivå'!C30</f>
        <v>0.75</v>
      </c>
      <c r="E95" s="367">
        <f>'6 Oversikt startpunkt'!C11</f>
        <v>2.4</v>
      </c>
      <c r="F95" s="399">
        <f>'7 Passivhusnivå'!D30</f>
        <v>0.8</v>
      </c>
      <c r="G95" s="367">
        <f>'6 Oversikt startpunkt'!D11</f>
        <v>2.4</v>
      </c>
      <c r="H95" s="399">
        <f>'7 Passivhusnivå'!F30</f>
        <v>0.8</v>
      </c>
      <c r="I95" s="367">
        <f>'6 Oversikt startpunkt'!E11</f>
        <v>2.4</v>
      </c>
      <c r="J95" s="399">
        <f>'7 Passivhusnivå'!G30</f>
        <v>0.8</v>
      </c>
      <c r="K95" s="367">
        <f>'6 Oversikt startpunkt'!F11</f>
        <v>2.4</v>
      </c>
      <c r="L95" s="399">
        <f>'7 Passivhusnivå'!H30</f>
        <v>0.8</v>
      </c>
      <c r="M95" s="367">
        <f>'6 Oversikt startpunkt'!G11</f>
        <v>2.4</v>
      </c>
      <c r="N95" s="399">
        <f>'7 Passivhusnivå'!I30</f>
        <v>0.8</v>
      </c>
      <c r="O95" s="367">
        <f>'6 Oversikt startpunkt'!H11</f>
        <v>2.4</v>
      </c>
      <c r="P95" s="399">
        <f>'7 Passivhusnivå'!J30</f>
        <v>0.8</v>
      </c>
      <c r="Q95" s="367">
        <f>'6 Oversikt startpunkt'!I11</f>
        <v>2.4</v>
      </c>
      <c r="R95" s="399">
        <f>'7 Passivhusnivå'!K30</f>
        <v>0.8</v>
      </c>
      <c r="S95" s="367">
        <f>'6 Oversikt startpunkt'!J11</f>
        <v>2.4</v>
      </c>
      <c r="T95" s="399">
        <f>'7 Passivhusnivå'!L30</f>
        <v>0.8</v>
      </c>
      <c r="U95" s="367">
        <f>'6 Oversikt startpunkt'!K11</f>
        <v>2.4</v>
      </c>
      <c r="V95" s="399">
        <f>'7 Passivhusnivå'!M30</f>
        <v>0.8</v>
      </c>
      <c r="W95" s="367">
        <f>'6 Oversikt startpunkt'!L11</f>
        <v>2.4</v>
      </c>
      <c r="X95" s="399">
        <f>'7 Passivhusnivå'!N30</f>
        <v>0.8</v>
      </c>
      <c r="Y95" s="367">
        <f>'6 Oversikt startpunkt'!M11</f>
        <v>2.4</v>
      </c>
      <c r="Z95" s="399">
        <f>'7 Passivhusnivå'!O30</f>
        <v>0.8</v>
      </c>
    </row>
    <row r="96" spans="1:26" x14ac:dyDescent="0.2">
      <c r="A96" s="699"/>
      <c r="B96" s="144" t="s">
        <v>13</v>
      </c>
      <c r="C96" s="305">
        <f>'6 Oversikt startpunkt'!B13</f>
        <v>4</v>
      </c>
      <c r="D96" s="399">
        <f>D19</f>
        <v>2.2999999999999998</v>
      </c>
      <c r="E96" s="305">
        <f>'6 Oversikt startpunkt'!C13</f>
        <v>1.5</v>
      </c>
      <c r="F96" s="399">
        <f>F19</f>
        <v>1.05</v>
      </c>
      <c r="G96" s="209">
        <f>'6 Oversikt startpunkt'!D13</f>
        <v>3</v>
      </c>
      <c r="H96" s="209">
        <f>H19</f>
        <v>1.8</v>
      </c>
      <c r="I96" s="305">
        <f>'6 Oversikt startpunkt'!E13</f>
        <v>1.5</v>
      </c>
      <c r="J96" s="399">
        <f>J19</f>
        <v>1.05</v>
      </c>
      <c r="K96" s="209">
        <f>'6 Oversikt startpunkt'!F13</f>
        <v>3</v>
      </c>
      <c r="L96" s="209">
        <f>L19</f>
        <v>1.8</v>
      </c>
      <c r="M96" s="305">
        <f>'6 Oversikt startpunkt'!G13</f>
        <v>1.5</v>
      </c>
      <c r="N96" s="399">
        <f>N19</f>
        <v>1.05</v>
      </c>
      <c r="O96" s="209">
        <f>'6 Oversikt startpunkt'!H13</f>
        <v>1.5</v>
      </c>
      <c r="P96" s="209">
        <f>P19</f>
        <v>1.05</v>
      </c>
      <c r="Q96" s="305">
        <f>'6 Oversikt startpunkt'!I13</f>
        <v>3</v>
      </c>
      <c r="R96" s="399">
        <f>R19</f>
        <v>1.8</v>
      </c>
      <c r="S96" s="209">
        <f>'6 Oversikt startpunkt'!J13</f>
        <v>3</v>
      </c>
      <c r="T96" s="209">
        <f>T19</f>
        <v>1.8</v>
      </c>
      <c r="U96" s="305">
        <f>'6 Oversikt startpunkt'!K13</f>
        <v>3</v>
      </c>
      <c r="V96" s="399">
        <f>V19</f>
        <v>1.8</v>
      </c>
      <c r="W96" s="209">
        <f>'6 Oversikt startpunkt'!L13</f>
        <v>1.5</v>
      </c>
      <c r="X96" s="209">
        <f>X19</f>
        <v>1.05</v>
      </c>
      <c r="Y96" s="305">
        <f>'6 Oversikt startpunkt'!M13</f>
        <v>3</v>
      </c>
      <c r="Z96" s="399">
        <f>Z19</f>
        <v>1.8</v>
      </c>
    </row>
    <row r="97" spans="1:26" x14ac:dyDescent="0.2">
      <c r="A97" s="699"/>
      <c r="B97" s="144" t="s">
        <v>580</v>
      </c>
      <c r="C97" s="305">
        <f>'6 Oversikt startpunkt'!B25</f>
        <v>0.7</v>
      </c>
      <c r="D97" s="399">
        <f>'7 Passivhusnivå'!C44</f>
        <v>0.5</v>
      </c>
      <c r="E97" s="305">
        <f>'6 Oversikt startpunkt'!C25</f>
        <v>0.7</v>
      </c>
      <c r="F97" s="399">
        <f>'7 Passivhusnivå'!D44</f>
        <v>0.5</v>
      </c>
      <c r="G97" s="209">
        <f>'6 Oversikt startpunkt'!D25</f>
        <v>0.7</v>
      </c>
      <c r="H97" s="209">
        <f>'7 Passivhusnivå'!F44</f>
        <v>0.45</v>
      </c>
      <c r="I97" s="305"/>
      <c r="J97" s="312"/>
      <c r="L97" s="400"/>
      <c r="M97" s="367"/>
      <c r="N97" s="270"/>
      <c r="O97" s="305"/>
      <c r="P97" s="312"/>
      <c r="S97" s="305"/>
      <c r="T97" s="312"/>
      <c r="W97" s="305"/>
      <c r="X97" s="270"/>
      <c r="Y97" s="305"/>
      <c r="Z97" s="312"/>
    </row>
    <row r="98" spans="1:26" x14ac:dyDescent="0.2">
      <c r="A98" s="699"/>
      <c r="B98" s="144" t="s">
        <v>582</v>
      </c>
      <c r="C98" s="305"/>
      <c r="D98" s="312"/>
      <c r="E98" s="367"/>
      <c r="F98" s="312"/>
      <c r="G98" s="367"/>
      <c r="H98" s="270"/>
      <c r="I98" s="305">
        <v>0.14000000000000001</v>
      </c>
      <c r="J98" s="270">
        <v>0.08</v>
      </c>
      <c r="K98" s="305">
        <v>0.14000000000000001</v>
      </c>
      <c r="L98" s="270">
        <v>0.08</v>
      </c>
      <c r="M98" s="305">
        <v>0.14000000000000001</v>
      </c>
      <c r="N98" s="270">
        <v>0.08</v>
      </c>
      <c r="O98" s="305">
        <v>0.14000000000000001</v>
      </c>
      <c r="P98" s="270">
        <v>0.08</v>
      </c>
      <c r="Q98" s="305">
        <v>0.14000000000000001</v>
      </c>
      <c r="R98" s="270">
        <v>0.08</v>
      </c>
      <c r="S98" s="305">
        <v>0.14000000000000001</v>
      </c>
      <c r="T98" s="270">
        <v>0.08</v>
      </c>
      <c r="U98" s="305">
        <v>0.14000000000000001</v>
      </c>
      <c r="V98" s="270">
        <v>0.08</v>
      </c>
      <c r="W98" s="305">
        <v>0.14000000000000001</v>
      </c>
      <c r="X98" s="270">
        <v>0.08</v>
      </c>
      <c r="Y98" s="305">
        <v>0.14000000000000001</v>
      </c>
      <c r="Z98" s="270">
        <v>0.08</v>
      </c>
    </row>
    <row r="99" spans="1:26" x14ac:dyDescent="0.2">
      <c r="A99" s="699"/>
      <c r="B99" s="316" t="s">
        <v>581</v>
      </c>
      <c r="C99" s="315"/>
      <c r="D99" s="383"/>
      <c r="F99" s="383"/>
      <c r="I99" s="305">
        <f>'6 Oversikt startpunkt'!E25</f>
        <v>0.7</v>
      </c>
      <c r="J99" s="399">
        <f>'7 Passivhusnivå'!G44</f>
        <v>0.45</v>
      </c>
      <c r="K99" s="209">
        <f>'6 Oversikt startpunkt'!F25</f>
        <v>0.7</v>
      </c>
      <c r="L99" s="399">
        <f>'7 Passivhusnivå'!H44</f>
        <v>0.45</v>
      </c>
      <c r="M99" s="305">
        <f>'6 Oversikt startpunkt'!G25</f>
        <v>0.7</v>
      </c>
      <c r="N99" s="399">
        <f>'7 Passivhusnivå'!I44</f>
        <v>0.45</v>
      </c>
      <c r="O99" s="209">
        <f>'6 Oversikt startpunkt'!H25</f>
        <v>0.7</v>
      </c>
      <c r="P99" s="209">
        <f>'7 Passivhusnivå'!J44</f>
        <v>0.45</v>
      </c>
      <c r="Q99" s="305">
        <f>'6 Oversikt startpunkt'!I25</f>
        <v>0.7</v>
      </c>
      <c r="R99" s="399">
        <f>'7 Passivhusnivå'!K44</f>
        <v>0.45</v>
      </c>
      <c r="S99" s="209">
        <f>'6 Oversikt startpunkt'!J25</f>
        <v>0.7</v>
      </c>
      <c r="T99" s="209">
        <f>'7 Passivhusnivå'!L44</f>
        <v>0.45</v>
      </c>
      <c r="U99" s="305">
        <f>'6 Oversikt startpunkt'!K25</f>
        <v>0.7</v>
      </c>
      <c r="V99" s="399">
        <f>'7 Passivhusnivå'!M44</f>
        <v>0.45</v>
      </c>
      <c r="W99" s="209">
        <f>'6 Oversikt startpunkt'!L25</f>
        <v>0.7</v>
      </c>
      <c r="X99" s="209">
        <f>'7 Passivhusnivå'!N44</f>
        <v>0.45</v>
      </c>
      <c r="Y99" s="305">
        <f>'6 Oversikt startpunkt'!M25</f>
        <v>0.7</v>
      </c>
      <c r="Z99" s="399">
        <f>'7 Passivhusnivå'!O44</f>
        <v>0.45</v>
      </c>
    </row>
    <row r="100" spans="1:26" s="216" customFormat="1" x14ac:dyDescent="0.2">
      <c r="A100" s="699"/>
      <c r="B100" s="288" t="s">
        <v>490</v>
      </c>
      <c r="C100" s="289" t="s">
        <v>372</v>
      </c>
      <c r="D100" s="290" t="s">
        <v>397</v>
      </c>
      <c r="E100" s="289" t="s">
        <v>372</v>
      </c>
      <c r="F100" s="291" t="s">
        <v>397</v>
      </c>
      <c r="G100" s="292" t="s">
        <v>372</v>
      </c>
      <c r="H100" s="290" t="s">
        <v>397</v>
      </c>
      <c r="I100" s="289" t="s">
        <v>372</v>
      </c>
      <c r="J100" s="291" t="s">
        <v>397</v>
      </c>
      <c r="K100" s="292" t="s">
        <v>372</v>
      </c>
      <c r="L100" s="290" t="s">
        <v>397</v>
      </c>
      <c r="M100" s="289" t="s">
        <v>372</v>
      </c>
      <c r="N100" s="290" t="s">
        <v>397</v>
      </c>
      <c r="O100" s="289" t="s">
        <v>372</v>
      </c>
      <c r="P100" s="290" t="s">
        <v>397</v>
      </c>
      <c r="Q100" s="289" t="s">
        <v>372</v>
      </c>
      <c r="R100" s="290" t="s">
        <v>397</v>
      </c>
      <c r="S100" s="289" t="s">
        <v>372</v>
      </c>
      <c r="T100" s="290" t="s">
        <v>397</v>
      </c>
      <c r="U100" s="289" t="s">
        <v>372</v>
      </c>
      <c r="V100" s="290" t="s">
        <v>397</v>
      </c>
      <c r="W100" s="289" t="s">
        <v>372</v>
      </c>
      <c r="X100" s="290" t="s">
        <v>397</v>
      </c>
      <c r="Y100" s="289" t="s">
        <v>372</v>
      </c>
      <c r="Z100" s="291" t="s">
        <v>397</v>
      </c>
    </row>
    <row r="101" spans="1:26" x14ac:dyDescent="0.2">
      <c r="A101" s="699"/>
      <c r="B101" s="272" t="s">
        <v>373</v>
      </c>
      <c r="C101" s="230">
        <v>12665</v>
      </c>
      <c r="D101" s="231">
        <v>79.2</v>
      </c>
      <c r="E101" s="230">
        <v>59956</v>
      </c>
      <c r="F101" s="273">
        <v>66.599999999999994</v>
      </c>
      <c r="G101" s="285">
        <v>21476</v>
      </c>
      <c r="H101" s="231">
        <v>71.599999999999994</v>
      </c>
      <c r="I101" s="230">
        <v>60904</v>
      </c>
      <c r="J101" s="273">
        <v>16.899999999999999</v>
      </c>
      <c r="K101" s="285">
        <v>77109</v>
      </c>
      <c r="L101" s="231">
        <v>32.1</v>
      </c>
      <c r="M101" s="230">
        <v>72348</v>
      </c>
      <c r="N101" s="231">
        <v>20.100000000000001</v>
      </c>
      <c r="O101" s="230">
        <v>195399</v>
      </c>
      <c r="P101" s="231">
        <v>54.3</v>
      </c>
      <c r="Q101" s="230">
        <v>102941</v>
      </c>
      <c r="R101" s="231">
        <v>42.9</v>
      </c>
      <c r="S101" s="230">
        <v>135786</v>
      </c>
      <c r="T101" s="231">
        <v>56.6</v>
      </c>
      <c r="U101" s="230">
        <v>141455</v>
      </c>
      <c r="V101" s="231">
        <v>44.2</v>
      </c>
      <c r="W101" s="230">
        <v>120474</v>
      </c>
      <c r="X101" s="231">
        <v>33.5</v>
      </c>
      <c r="Y101" s="230">
        <v>146536</v>
      </c>
      <c r="Z101" s="273">
        <v>61.1</v>
      </c>
    </row>
    <row r="102" spans="1:26" x14ac:dyDescent="0.2">
      <c r="A102" s="699"/>
      <c r="B102" s="272" t="s">
        <v>374</v>
      </c>
      <c r="C102" s="230">
        <v>0</v>
      </c>
      <c r="D102" s="231">
        <v>0</v>
      </c>
      <c r="E102" s="230">
        <v>0</v>
      </c>
      <c r="F102" s="273">
        <v>0</v>
      </c>
      <c r="G102" s="285">
        <v>1982</v>
      </c>
      <c r="H102" s="231">
        <v>6.6</v>
      </c>
      <c r="I102" s="230">
        <v>23796</v>
      </c>
      <c r="J102" s="273">
        <v>6.6</v>
      </c>
      <c r="K102" s="285">
        <v>19829</v>
      </c>
      <c r="L102" s="231">
        <v>8.3000000000000007</v>
      </c>
      <c r="M102" s="230">
        <v>31272</v>
      </c>
      <c r="N102" s="231">
        <v>8.6999999999999993</v>
      </c>
      <c r="O102" s="230">
        <v>86119</v>
      </c>
      <c r="P102" s="231">
        <v>23.9</v>
      </c>
      <c r="Q102" s="230">
        <v>53460</v>
      </c>
      <c r="R102" s="231">
        <v>22.3</v>
      </c>
      <c r="S102" s="230">
        <v>28812</v>
      </c>
      <c r="T102" s="231">
        <v>12</v>
      </c>
      <c r="U102" s="230">
        <v>52254</v>
      </c>
      <c r="V102" s="231">
        <v>16.3</v>
      </c>
      <c r="W102" s="230">
        <v>50930</v>
      </c>
      <c r="X102" s="231">
        <v>14.1</v>
      </c>
      <c r="Y102" s="230">
        <v>15405</v>
      </c>
      <c r="Z102" s="273">
        <v>6.4</v>
      </c>
    </row>
    <row r="103" spans="1:26" x14ac:dyDescent="0.2">
      <c r="A103" s="699"/>
      <c r="B103" s="272" t="s">
        <v>375</v>
      </c>
      <c r="C103" s="230">
        <v>4765</v>
      </c>
      <c r="D103" s="231">
        <v>29.8</v>
      </c>
      <c r="E103" s="230">
        <v>26792</v>
      </c>
      <c r="F103" s="273">
        <v>29.8</v>
      </c>
      <c r="G103" s="285">
        <v>3007</v>
      </c>
      <c r="H103" s="231">
        <v>10</v>
      </c>
      <c r="I103" s="230">
        <v>18040</v>
      </c>
      <c r="J103" s="273">
        <v>5</v>
      </c>
      <c r="K103" s="285">
        <v>23530</v>
      </c>
      <c r="L103" s="231">
        <v>9.8000000000000007</v>
      </c>
      <c r="M103" s="230">
        <v>18040</v>
      </c>
      <c r="N103" s="231">
        <v>5</v>
      </c>
      <c r="O103" s="230">
        <v>107170</v>
      </c>
      <c r="P103" s="231">
        <v>29.8</v>
      </c>
      <c r="Q103" s="230">
        <v>71482</v>
      </c>
      <c r="R103" s="231">
        <v>29.8</v>
      </c>
      <c r="S103" s="230">
        <v>71482</v>
      </c>
      <c r="T103" s="231">
        <v>29.8</v>
      </c>
      <c r="U103" s="230">
        <v>156864</v>
      </c>
      <c r="V103" s="231">
        <v>49</v>
      </c>
      <c r="W103" s="230">
        <v>36408</v>
      </c>
      <c r="X103" s="231">
        <v>10.1</v>
      </c>
      <c r="Y103" s="230">
        <v>24054</v>
      </c>
      <c r="Z103" s="273">
        <v>10</v>
      </c>
    </row>
    <row r="104" spans="1:26" x14ac:dyDescent="0.2">
      <c r="A104" s="699"/>
      <c r="B104" s="272" t="s">
        <v>376</v>
      </c>
      <c r="C104" s="230">
        <v>935</v>
      </c>
      <c r="D104" s="231">
        <v>5.8</v>
      </c>
      <c r="E104" s="230">
        <v>6570</v>
      </c>
      <c r="F104" s="273">
        <v>7.3</v>
      </c>
      <c r="G104" s="285">
        <v>7830</v>
      </c>
      <c r="H104" s="231">
        <v>26.1</v>
      </c>
      <c r="I104" s="230">
        <v>93974</v>
      </c>
      <c r="J104" s="273">
        <v>26.1</v>
      </c>
      <c r="K104" s="285">
        <v>68800</v>
      </c>
      <c r="L104" s="231">
        <v>28.7</v>
      </c>
      <c r="M104" s="230">
        <v>122166</v>
      </c>
      <c r="N104" s="231">
        <v>33.9</v>
      </c>
      <c r="O104" s="230">
        <v>292652</v>
      </c>
      <c r="P104" s="231">
        <v>81.3</v>
      </c>
      <c r="Q104" s="230">
        <v>171598</v>
      </c>
      <c r="R104" s="231">
        <v>71.5</v>
      </c>
      <c r="S104" s="230">
        <v>116800</v>
      </c>
      <c r="T104" s="231">
        <v>48.7</v>
      </c>
      <c r="U104" s="230">
        <v>82560</v>
      </c>
      <c r="V104" s="231">
        <v>25.8</v>
      </c>
      <c r="W104" s="230">
        <v>224688</v>
      </c>
      <c r="X104" s="231">
        <v>62.4</v>
      </c>
      <c r="Y104" s="230">
        <v>68904</v>
      </c>
      <c r="Z104" s="273">
        <v>28.7</v>
      </c>
    </row>
    <row r="105" spans="1:26" x14ac:dyDescent="0.2">
      <c r="A105" s="699"/>
      <c r="B105" s="272" t="s">
        <v>377</v>
      </c>
      <c r="C105" s="230">
        <v>94</v>
      </c>
      <c r="D105" s="231">
        <v>0.6</v>
      </c>
      <c r="E105" s="230">
        <v>401</v>
      </c>
      <c r="F105" s="273">
        <v>0.4</v>
      </c>
      <c r="G105" s="285">
        <v>273</v>
      </c>
      <c r="H105" s="231">
        <v>0.9</v>
      </c>
      <c r="I105" s="230">
        <v>6776</v>
      </c>
      <c r="J105" s="273">
        <v>1.9</v>
      </c>
      <c r="K105" s="285">
        <v>1732</v>
      </c>
      <c r="L105" s="231">
        <v>0.7</v>
      </c>
      <c r="M105" s="230">
        <v>8012</v>
      </c>
      <c r="N105" s="231">
        <v>2.2000000000000002</v>
      </c>
      <c r="O105" s="230">
        <v>10068</v>
      </c>
      <c r="P105" s="231">
        <v>2.8</v>
      </c>
      <c r="Q105" s="230">
        <v>1492</v>
      </c>
      <c r="R105" s="231">
        <v>0.6</v>
      </c>
      <c r="S105" s="230">
        <v>4923</v>
      </c>
      <c r="T105" s="231">
        <v>2.1</v>
      </c>
      <c r="U105" s="230">
        <v>2444</v>
      </c>
      <c r="V105" s="231">
        <v>0.8</v>
      </c>
      <c r="W105" s="230">
        <v>11329</v>
      </c>
      <c r="X105" s="231">
        <v>3.1</v>
      </c>
      <c r="Y105" s="230">
        <v>5918</v>
      </c>
      <c r="Z105" s="273">
        <v>2.5</v>
      </c>
    </row>
    <row r="106" spans="1:26" x14ac:dyDescent="0.2">
      <c r="A106" s="699"/>
      <c r="B106" s="272" t="s">
        <v>378</v>
      </c>
      <c r="C106" s="230">
        <v>1822</v>
      </c>
      <c r="D106" s="231">
        <v>11.4</v>
      </c>
      <c r="E106" s="230">
        <v>10253</v>
      </c>
      <c r="F106" s="273">
        <v>11.4</v>
      </c>
      <c r="G106" s="285">
        <v>7830</v>
      </c>
      <c r="H106" s="231">
        <v>26.1</v>
      </c>
      <c r="I106" s="230">
        <v>112752</v>
      </c>
      <c r="J106" s="273">
        <v>31.3</v>
      </c>
      <c r="K106" s="285">
        <v>64500</v>
      </c>
      <c r="L106" s="231">
        <v>26.9</v>
      </c>
      <c r="M106" s="230">
        <v>112752</v>
      </c>
      <c r="N106" s="231">
        <v>31.3</v>
      </c>
      <c r="O106" s="230">
        <v>210172</v>
      </c>
      <c r="P106" s="231">
        <v>58.4</v>
      </c>
      <c r="Q106" s="230">
        <v>140160</v>
      </c>
      <c r="R106" s="231">
        <v>58.4</v>
      </c>
      <c r="S106" s="230">
        <v>140160</v>
      </c>
      <c r="T106" s="231">
        <v>58.4</v>
      </c>
      <c r="U106" s="230">
        <v>82560</v>
      </c>
      <c r="V106" s="231">
        <v>25.8</v>
      </c>
      <c r="W106" s="230">
        <v>252746</v>
      </c>
      <c r="X106" s="231">
        <v>70.2</v>
      </c>
      <c r="Y106" s="230">
        <v>68904</v>
      </c>
      <c r="Z106" s="273">
        <v>28.7</v>
      </c>
    </row>
    <row r="107" spans="1:26" x14ac:dyDescent="0.2">
      <c r="A107" s="699"/>
      <c r="B107" s="272" t="s">
        <v>379</v>
      </c>
      <c r="C107" s="230">
        <v>2803</v>
      </c>
      <c r="D107" s="231">
        <v>17.5</v>
      </c>
      <c r="E107" s="230">
        <v>15768</v>
      </c>
      <c r="F107" s="273">
        <v>17.5</v>
      </c>
      <c r="G107" s="285">
        <v>1566</v>
      </c>
      <c r="H107" s="231">
        <v>5.2</v>
      </c>
      <c r="I107" s="230">
        <v>124050</v>
      </c>
      <c r="J107" s="273">
        <v>34.5</v>
      </c>
      <c r="K107" s="285">
        <v>30960</v>
      </c>
      <c r="L107" s="231">
        <v>12.9</v>
      </c>
      <c r="M107" s="230">
        <v>124050</v>
      </c>
      <c r="N107" s="231">
        <v>34.5</v>
      </c>
      <c r="O107" s="230">
        <v>168192</v>
      </c>
      <c r="P107" s="231">
        <v>46.7</v>
      </c>
      <c r="Q107" s="230">
        <v>56064</v>
      </c>
      <c r="R107" s="231">
        <v>23.4</v>
      </c>
      <c r="S107" s="230">
        <v>14016</v>
      </c>
      <c r="T107" s="231">
        <v>5.8</v>
      </c>
      <c r="U107" s="230">
        <v>8256</v>
      </c>
      <c r="V107" s="231">
        <v>2.6</v>
      </c>
      <c r="W107" s="230">
        <v>13478</v>
      </c>
      <c r="X107" s="231">
        <v>3.7</v>
      </c>
      <c r="Y107" s="230">
        <v>6890</v>
      </c>
      <c r="Z107" s="273">
        <v>2.9</v>
      </c>
    </row>
    <row r="108" spans="1:26" x14ac:dyDescent="0.2">
      <c r="A108" s="699"/>
      <c r="B108" s="272" t="s">
        <v>380</v>
      </c>
      <c r="C108" s="230">
        <v>0</v>
      </c>
      <c r="D108" s="231">
        <v>0</v>
      </c>
      <c r="E108" s="235">
        <v>0</v>
      </c>
      <c r="F108" s="273">
        <v>0</v>
      </c>
      <c r="G108" s="285">
        <v>0</v>
      </c>
      <c r="H108" s="231">
        <v>0</v>
      </c>
      <c r="I108" s="230">
        <v>0</v>
      </c>
      <c r="J108" s="273">
        <v>0</v>
      </c>
      <c r="K108" s="285">
        <v>0</v>
      </c>
      <c r="L108" s="231">
        <v>0</v>
      </c>
      <c r="M108" s="230">
        <v>0</v>
      </c>
      <c r="N108" s="231">
        <v>0</v>
      </c>
      <c r="O108" s="230">
        <v>0</v>
      </c>
      <c r="P108" s="231">
        <v>0</v>
      </c>
      <c r="Q108" s="230">
        <v>0</v>
      </c>
      <c r="R108" s="231">
        <v>0</v>
      </c>
      <c r="S108" s="230">
        <v>0</v>
      </c>
      <c r="T108" s="231">
        <v>0</v>
      </c>
      <c r="U108" s="230">
        <v>0</v>
      </c>
      <c r="V108" s="231">
        <v>0</v>
      </c>
      <c r="W108" s="230">
        <v>0</v>
      </c>
      <c r="X108" s="231">
        <v>0</v>
      </c>
      <c r="Y108" s="230">
        <v>0</v>
      </c>
      <c r="Z108" s="273">
        <v>0</v>
      </c>
    </row>
    <row r="109" spans="1:26" x14ac:dyDescent="0.2">
      <c r="A109" s="699"/>
      <c r="B109" s="272" t="s">
        <v>381</v>
      </c>
      <c r="C109" s="230">
        <v>0</v>
      </c>
      <c r="D109" s="231">
        <v>0</v>
      </c>
      <c r="E109" s="235">
        <v>0</v>
      </c>
      <c r="F109" s="273">
        <v>0</v>
      </c>
      <c r="G109" s="285">
        <v>0</v>
      </c>
      <c r="H109" s="231">
        <v>0</v>
      </c>
      <c r="I109" s="230">
        <v>20235</v>
      </c>
      <c r="J109" s="273">
        <v>5.6</v>
      </c>
      <c r="K109" s="285">
        <v>0</v>
      </c>
      <c r="L109" s="231">
        <v>0</v>
      </c>
      <c r="M109" s="230">
        <v>26017</v>
      </c>
      <c r="N109" s="231">
        <v>7.2</v>
      </c>
      <c r="O109" s="230">
        <v>51513</v>
      </c>
      <c r="P109" s="231">
        <v>14.3</v>
      </c>
      <c r="Q109" s="230">
        <v>0</v>
      </c>
      <c r="R109" s="231">
        <v>0</v>
      </c>
      <c r="S109" s="230">
        <v>22800</v>
      </c>
      <c r="T109" s="231">
        <v>9.5</v>
      </c>
      <c r="U109" s="230">
        <v>0</v>
      </c>
      <c r="V109" s="231">
        <v>0</v>
      </c>
      <c r="W109" s="230">
        <v>53219</v>
      </c>
      <c r="X109" s="231">
        <v>14.8</v>
      </c>
      <c r="Y109" s="230">
        <v>17590</v>
      </c>
      <c r="Z109" s="273">
        <v>7.3</v>
      </c>
    </row>
    <row r="110" spans="1:26" s="20" customFormat="1" x14ac:dyDescent="0.2">
      <c r="A110" s="699"/>
      <c r="B110" s="274" t="s">
        <v>382</v>
      </c>
      <c r="C110" s="275">
        <v>23084</v>
      </c>
      <c r="D110" s="276">
        <v>144.30000000000001</v>
      </c>
      <c r="E110" s="277">
        <v>119740</v>
      </c>
      <c r="F110" s="287">
        <v>133</v>
      </c>
      <c r="G110" s="286">
        <v>43963</v>
      </c>
      <c r="H110" s="276">
        <v>146.5</v>
      </c>
      <c r="I110" s="275">
        <v>460528</v>
      </c>
      <c r="J110" s="279">
        <v>127.9</v>
      </c>
      <c r="K110" s="286">
        <v>286459</v>
      </c>
      <c r="L110" s="276">
        <v>119.4</v>
      </c>
      <c r="M110" s="275">
        <v>514658</v>
      </c>
      <c r="N110" s="276">
        <v>143</v>
      </c>
      <c r="O110" s="275">
        <v>1121286</v>
      </c>
      <c r="P110" s="276">
        <v>311.5</v>
      </c>
      <c r="Q110" s="275">
        <v>597196</v>
      </c>
      <c r="R110" s="276">
        <v>248.8</v>
      </c>
      <c r="S110" s="275">
        <v>534779</v>
      </c>
      <c r="T110" s="276">
        <v>222.8</v>
      </c>
      <c r="U110" s="275">
        <v>526393</v>
      </c>
      <c r="V110" s="276">
        <v>164.5</v>
      </c>
      <c r="W110" s="275">
        <v>763273</v>
      </c>
      <c r="X110" s="276">
        <v>212</v>
      </c>
      <c r="Y110" s="275">
        <v>354201</v>
      </c>
      <c r="Z110" s="279">
        <v>147.6</v>
      </c>
    </row>
    <row r="111" spans="1:26" s="216" customFormat="1" x14ac:dyDescent="0.2">
      <c r="A111" s="699"/>
      <c r="B111" s="283" t="s">
        <v>491</v>
      </c>
      <c r="C111" s="289" t="s">
        <v>372</v>
      </c>
      <c r="D111" s="291" t="s">
        <v>397</v>
      </c>
      <c r="E111" s="289" t="s">
        <v>372</v>
      </c>
      <c r="F111" s="291" t="s">
        <v>397</v>
      </c>
      <c r="G111" s="289" t="s">
        <v>372</v>
      </c>
      <c r="H111" s="291" t="s">
        <v>397</v>
      </c>
      <c r="I111" s="289" t="s">
        <v>372</v>
      </c>
      <c r="J111" s="291" t="s">
        <v>397</v>
      </c>
      <c r="K111" s="289" t="s">
        <v>372</v>
      </c>
      <c r="L111" s="291" t="s">
        <v>397</v>
      </c>
      <c r="M111" s="289" t="s">
        <v>372</v>
      </c>
      <c r="N111" s="291" t="s">
        <v>397</v>
      </c>
      <c r="O111" s="289" t="s">
        <v>372</v>
      </c>
      <c r="P111" s="291" t="s">
        <v>397</v>
      </c>
      <c r="Q111" s="289" t="s">
        <v>372</v>
      </c>
      <c r="R111" s="291" t="s">
        <v>397</v>
      </c>
      <c r="S111" s="289" t="s">
        <v>372</v>
      </c>
      <c r="T111" s="291" t="s">
        <v>397</v>
      </c>
      <c r="U111" s="289" t="s">
        <v>372</v>
      </c>
      <c r="V111" s="291" t="s">
        <v>397</v>
      </c>
      <c r="W111" s="289" t="s">
        <v>372</v>
      </c>
      <c r="X111" s="291" t="s">
        <v>397</v>
      </c>
      <c r="Y111" s="289" t="s">
        <v>372</v>
      </c>
      <c r="Z111" s="291" t="s">
        <v>397</v>
      </c>
    </row>
    <row r="112" spans="1:26" x14ac:dyDescent="0.2">
      <c r="A112" s="699"/>
      <c r="B112" s="272" t="s">
        <v>373</v>
      </c>
      <c r="C112" s="230">
        <f>C$6-C101</f>
        <v>5793</v>
      </c>
      <c r="D112" s="293">
        <f t="shared" ref="D112:Z112" si="30">D$6-D101</f>
        <v>36.200000000000003</v>
      </c>
      <c r="E112" s="230">
        <f t="shared" si="30"/>
        <v>24401</v>
      </c>
      <c r="F112" s="293">
        <f t="shared" si="30"/>
        <v>27.100000000000009</v>
      </c>
      <c r="G112" s="230">
        <f t="shared" si="30"/>
        <v>9548</v>
      </c>
      <c r="H112" s="293">
        <f t="shared" si="30"/>
        <v>31.800000000000011</v>
      </c>
      <c r="I112" s="230">
        <f t="shared" si="30"/>
        <v>89982</v>
      </c>
      <c r="J112" s="293">
        <f t="shared" si="30"/>
        <v>25</v>
      </c>
      <c r="K112" s="230">
        <f t="shared" si="30"/>
        <v>74259</v>
      </c>
      <c r="L112" s="293">
        <f t="shared" si="30"/>
        <v>31</v>
      </c>
      <c r="M112" s="230">
        <f t="shared" si="30"/>
        <v>95435</v>
      </c>
      <c r="N112" s="293">
        <f t="shared" si="30"/>
        <v>26.5</v>
      </c>
      <c r="O112" s="230">
        <f t="shared" si="30"/>
        <v>95974</v>
      </c>
      <c r="P112" s="293">
        <f t="shared" si="30"/>
        <v>26.600000000000009</v>
      </c>
      <c r="Q112" s="230">
        <f t="shared" si="30"/>
        <v>76708</v>
      </c>
      <c r="R112" s="293">
        <f t="shared" si="30"/>
        <v>32.000000000000007</v>
      </c>
      <c r="S112" s="230">
        <f t="shared" si="30"/>
        <v>81013</v>
      </c>
      <c r="T112" s="293">
        <f t="shared" si="30"/>
        <v>33.699999999999996</v>
      </c>
      <c r="U112" s="230">
        <f t="shared" si="30"/>
        <v>157200</v>
      </c>
      <c r="V112" s="293">
        <f t="shared" si="30"/>
        <v>49.099999999999994</v>
      </c>
      <c r="W112" s="230">
        <f t="shared" si="30"/>
        <v>96784</v>
      </c>
      <c r="X112" s="293">
        <f t="shared" si="30"/>
        <v>26.799999999999997</v>
      </c>
      <c r="Y112" s="230">
        <f t="shared" si="30"/>
        <v>74870</v>
      </c>
      <c r="Z112" s="293">
        <f t="shared" si="30"/>
        <v>31.199999999999996</v>
      </c>
    </row>
    <row r="113" spans="1:26" x14ac:dyDescent="0.2">
      <c r="A113" s="699"/>
      <c r="B113" s="272" t="s">
        <v>374</v>
      </c>
      <c r="C113" s="230">
        <f t="shared" ref="C113:Z113" si="31">C$7-C102</f>
        <v>0</v>
      </c>
      <c r="D113" s="293">
        <f t="shared" si="31"/>
        <v>0</v>
      </c>
      <c r="E113" s="230">
        <f t="shared" si="31"/>
        <v>0</v>
      </c>
      <c r="F113" s="293">
        <f t="shared" si="31"/>
        <v>0</v>
      </c>
      <c r="G113" s="230">
        <f t="shared" si="31"/>
        <v>1</v>
      </c>
      <c r="H113" s="293">
        <f t="shared" si="31"/>
        <v>0</v>
      </c>
      <c r="I113" s="230">
        <f t="shared" si="31"/>
        <v>426</v>
      </c>
      <c r="J113" s="293">
        <f t="shared" si="31"/>
        <v>0.10000000000000053</v>
      </c>
      <c r="K113" s="230">
        <f t="shared" si="31"/>
        <v>97</v>
      </c>
      <c r="L113" s="293">
        <f t="shared" si="31"/>
        <v>0</v>
      </c>
      <c r="M113" s="230">
        <f t="shared" si="31"/>
        <v>341</v>
      </c>
      <c r="N113" s="293">
        <f t="shared" si="31"/>
        <v>0.10000000000000142</v>
      </c>
      <c r="O113" s="230">
        <f t="shared" si="31"/>
        <v>4046</v>
      </c>
      <c r="P113" s="293">
        <f t="shared" si="31"/>
        <v>1.1000000000000014</v>
      </c>
      <c r="Q113" s="230">
        <f t="shared" si="31"/>
        <v>3122</v>
      </c>
      <c r="R113" s="293">
        <f t="shared" si="31"/>
        <v>1.3000000000000007</v>
      </c>
      <c r="S113" s="230">
        <f t="shared" si="31"/>
        <v>159</v>
      </c>
      <c r="T113" s="293">
        <f t="shared" si="31"/>
        <v>9.9999999999999645E-2</v>
      </c>
      <c r="U113" s="230">
        <f t="shared" si="31"/>
        <v>988</v>
      </c>
      <c r="V113" s="293">
        <f t="shared" si="31"/>
        <v>0.30000000000000071</v>
      </c>
      <c r="W113" s="230">
        <f t="shared" si="31"/>
        <v>424</v>
      </c>
      <c r="X113" s="293">
        <f t="shared" si="31"/>
        <v>0.20000000000000107</v>
      </c>
      <c r="Y113" s="230">
        <f t="shared" si="31"/>
        <v>64</v>
      </c>
      <c r="Z113" s="293">
        <f t="shared" si="31"/>
        <v>0</v>
      </c>
    </row>
    <row r="114" spans="1:26" x14ac:dyDescent="0.2">
      <c r="A114" s="699"/>
      <c r="B114" s="272" t="s">
        <v>375</v>
      </c>
      <c r="C114" s="230">
        <f>C$8-C103</f>
        <v>0</v>
      </c>
      <c r="D114" s="293">
        <f t="shared" ref="D114:Z114" si="32">D$8-D103</f>
        <v>0</v>
      </c>
      <c r="E114" s="230">
        <f t="shared" si="32"/>
        <v>0</v>
      </c>
      <c r="F114" s="293">
        <f t="shared" si="32"/>
        <v>0</v>
      </c>
      <c r="G114" s="230">
        <f t="shared" si="32"/>
        <v>0</v>
      </c>
      <c r="H114" s="293">
        <f t="shared" si="32"/>
        <v>0</v>
      </c>
      <c r="I114" s="230">
        <f t="shared" si="32"/>
        <v>0</v>
      </c>
      <c r="J114" s="293">
        <f t="shared" si="32"/>
        <v>0</v>
      </c>
      <c r="K114" s="230">
        <f t="shared" si="32"/>
        <v>0</v>
      </c>
      <c r="L114" s="293">
        <f t="shared" si="32"/>
        <v>0</v>
      </c>
      <c r="M114" s="230">
        <f t="shared" si="32"/>
        <v>0</v>
      </c>
      <c r="N114" s="293">
        <f t="shared" si="32"/>
        <v>0</v>
      </c>
      <c r="O114" s="230">
        <f t="shared" si="32"/>
        <v>0</v>
      </c>
      <c r="P114" s="293">
        <f t="shared" si="32"/>
        <v>0</v>
      </c>
      <c r="Q114" s="230">
        <f t="shared" si="32"/>
        <v>0</v>
      </c>
      <c r="R114" s="293">
        <f t="shared" si="32"/>
        <v>0</v>
      </c>
      <c r="S114" s="230">
        <f t="shared" si="32"/>
        <v>0</v>
      </c>
      <c r="T114" s="293">
        <f t="shared" si="32"/>
        <v>0</v>
      </c>
      <c r="U114" s="230">
        <f t="shared" si="32"/>
        <v>0</v>
      </c>
      <c r="V114" s="293">
        <f t="shared" si="32"/>
        <v>0</v>
      </c>
      <c r="W114" s="230">
        <f t="shared" si="32"/>
        <v>0</v>
      </c>
      <c r="X114" s="293">
        <f t="shared" si="32"/>
        <v>0</v>
      </c>
      <c r="Y114" s="230">
        <f t="shared" si="32"/>
        <v>0</v>
      </c>
      <c r="Z114" s="293">
        <f t="shared" si="32"/>
        <v>0</v>
      </c>
    </row>
    <row r="115" spans="1:26" x14ac:dyDescent="0.2">
      <c r="A115" s="699"/>
      <c r="B115" s="272" t="s">
        <v>376</v>
      </c>
      <c r="C115" s="230">
        <f t="shared" ref="C115:Z115" si="33">C$9-C104</f>
        <v>0</v>
      </c>
      <c r="D115" s="293">
        <f t="shared" si="33"/>
        <v>0</v>
      </c>
      <c r="E115" s="230">
        <f t="shared" si="33"/>
        <v>0</v>
      </c>
      <c r="F115" s="293">
        <f t="shared" si="33"/>
        <v>0</v>
      </c>
      <c r="G115" s="230">
        <f t="shared" si="33"/>
        <v>0</v>
      </c>
      <c r="H115" s="293">
        <f t="shared" si="33"/>
        <v>0</v>
      </c>
      <c r="I115" s="230">
        <f t="shared" si="33"/>
        <v>0</v>
      </c>
      <c r="J115" s="293">
        <f t="shared" si="33"/>
        <v>0</v>
      </c>
      <c r="K115" s="230">
        <f t="shared" si="33"/>
        <v>0</v>
      </c>
      <c r="L115" s="293">
        <f t="shared" si="33"/>
        <v>0</v>
      </c>
      <c r="M115" s="230">
        <f t="shared" si="33"/>
        <v>0</v>
      </c>
      <c r="N115" s="293">
        <f t="shared" si="33"/>
        <v>0</v>
      </c>
      <c r="O115" s="230">
        <f t="shared" si="33"/>
        <v>0</v>
      </c>
      <c r="P115" s="293">
        <f t="shared" si="33"/>
        <v>0</v>
      </c>
      <c r="Q115" s="230">
        <f t="shared" si="33"/>
        <v>0</v>
      </c>
      <c r="R115" s="293">
        <f t="shared" si="33"/>
        <v>0</v>
      </c>
      <c r="S115" s="230">
        <f t="shared" si="33"/>
        <v>0</v>
      </c>
      <c r="T115" s="293">
        <f t="shared" si="33"/>
        <v>0</v>
      </c>
      <c r="U115" s="230">
        <f t="shared" si="33"/>
        <v>0</v>
      </c>
      <c r="V115" s="293">
        <f t="shared" si="33"/>
        <v>0</v>
      </c>
      <c r="W115" s="230">
        <f t="shared" si="33"/>
        <v>0</v>
      </c>
      <c r="X115" s="293">
        <f t="shared" si="33"/>
        <v>0</v>
      </c>
      <c r="Y115" s="230">
        <f t="shared" si="33"/>
        <v>0</v>
      </c>
      <c r="Z115" s="293">
        <f t="shared" si="33"/>
        <v>0</v>
      </c>
    </row>
    <row r="116" spans="1:26" x14ac:dyDescent="0.2">
      <c r="A116" s="699"/>
      <c r="B116" s="272" t="s">
        <v>377</v>
      </c>
      <c r="C116" s="230">
        <f t="shared" ref="C116:Z116" si="34">C$10-C105</f>
        <v>25</v>
      </c>
      <c r="D116" s="293">
        <f t="shared" si="34"/>
        <v>9.9999999999999978E-2</v>
      </c>
      <c r="E116" s="230">
        <f t="shared" si="34"/>
        <v>120</v>
      </c>
      <c r="F116" s="293">
        <f t="shared" si="34"/>
        <v>0.19999999999999996</v>
      </c>
      <c r="G116" s="230">
        <f t="shared" si="34"/>
        <v>48</v>
      </c>
      <c r="H116" s="293">
        <f t="shared" si="34"/>
        <v>0.20000000000000007</v>
      </c>
      <c r="I116" s="230">
        <f t="shared" si="34"/>
        <v>665</v>
      </c>
      <c r="J116" s="293">
        <f t="shared" si="34"/>
        <v>0.20000000000000018</v>
      </c>
      <c r="K116" s="230">
        <f t="shared" si="34"/>
        <v>387</v>
      </c>
      <c r="L116" s="293">
        <f t="shared" si="34"/>
        <v>0.20000000000000007</v>
      </c>
      <c r="M116" s="230">
        <f t="shared" si="34"/>
        <v>586</v>
      </c>
      <c r="N116" s="293">
        <f t="shared" si="34"/>
        <v>0.19999999999999973</v>
      </c>
      <c r="O116" s="230">
        <f t="shared" si="34"/>
        <v>413</v>
      </c>
      <c r="P116" s="293">
        <f t="shared" si="34"/>
        <v>0.10000000000000009</v>
      </c>
      <c r="Q116" s="230">
        <f t="shared" si="34"/>
        <v>386</v>
      </c>
      <c r="R116" s="293">
        <f t="shared" si="34"/>
        <v>0.20000000000000007</v>
      </c>
      <c r="S116" s="230">
        <f t="shared" si="34"/>
        <v>413</v>
      </c>
      <c r="T116" s="293">
        <f t="shared" si="34"/>
        <v>0.10000000000000009</v>
      </c>
      <c r="U116" s="230">
        <f t="shared" si="34"/>
        <v>818</v>
      </c>
      <c r="V116" s="293">
        <f t="shared" si="34"/>
        <v>0.19999999999999996</v>
      </c>
      <c r="W116" s="230">
        <f t="shared" si="34"/>
        <v>618</v>
      </c>
      <c r="X116" s="293">
        <f t="shared" si="34"/>
        <v>0.19999999999999973</v>
      </c>
      <c r="Y116" s="230">
        <f t="shared" si="34"/>
        <v>370</v>
      </c>
      <c r="Z116" s="293">
        <f t="shared" si="34"/>
        <v>0.10000000000000009</v>
      </c>
    </row>
    <row r="117" spans="1:26" x14ac:dyDescent="0.2">
      <c r="A117" s="699"/>
      <c r="B117" s="272" t="s">
        <v>378</v>
      </c>
      <c r="C117" s="230">
        <f t="shared" ref="C117:Z117" si="35">C$11-C106</f>
        <v>0</v>
      </c>
      <c r="D117" s="293">
        <f t="shared" si="35"/>
        <v>0</v>
      </c>
      <c r="E117" s="230">
        <f t="shared" si="35"/>
        <v>0</v>
      </c>
      <c r="F117" s="293">
        <f t="shared" si="35"/>
        <v>0</v>
      </c>
      <c r="G117" s="230">
        <f t="shared" si="35"/>
        <v>0</v>
      </c>
      <c r="H117" s="293">
        <f t="shared" si="35"/>
        <v>0</v>
      </c>
      <c r="I117" s="230">
        <f t="shared" si="35"/>
        <v>0</v>
      </c>
      <c r="J117" s="293">
        <f t="shared" si="35"/>
        <v>0</v>
      </c>
      <c r="K117" s="230">
        <f t="shared" si="35"/>
        <v>0</v>
      </c>
      <c r="L117" s="293">
        <f t="shared" si="35"/>
        <v>0</v>
      </c>
      <c r="M117" s="230">
        <f t="shared" si="35"/>
        <v>0</v>
      </c>
      <c r="N117" s="293">
        <f t="shared" si="35"/>
        <v>0</v>
      </c>
      <c r="O117" s="230">
        <f t="shared" si="35"/>
        <v>0</v>
      </c>
      <c r="P117" s="293">
        <f t="shared" si="35"/>
        <v>0</v>
      </c>
      <c r="Q117" s="230">
        <f t="shared" si="35"/>
        <v>0</v>
      </c>
      <c r="R117" s="293">
        <f t="shared" si="35"/>
        <v>0</v>
      </c>
      <c r="S117" s="230">
        <f t="shared" si="35"/>
        <v>0</v>
      </c>
      <c r="T117" s="293">
        <f t="shared" si="35"/>
        <v>0</v>
      </c>
      <c r="U117" s="230">
        <f t="shared" si="35"/>
        <v>0</v>
      </c>
      <c r="V117" s="293">
        <f t="shared" si="35"/>
        <v>0</v>
      </c>
      <c r="W117" s="230">
        <f t="shared" si="35"/>
        <v>0</v>
      </c>
      <c r="X117" s="293">
        <f t="shared" si="35"/>
        <v>0</v>
      </c>
      <c r="Y117" s="230">
        <f t="shared" si="35"/>
        <v>0</v>
      </c>
      <c r="Z117" s="293">
        <f t="shared" si="35"/>
        <v>0</v>
      </c>
    </row>
    <row r="118" spans="1:26" x14ac:dyDescent="0.2">
      <c r="A118" s="699"/>
      <c r="B118" s="272" t="s">
        <v>379</v>
      </c>
      <c r="C118" s="230">
        <f t="shared" ref="C118:Z118" si="36">C$12-C107</f>
        <v>0</v>
      </c>
      <c r="D118" s="293">
        <f t="shared" si="36"/>
        <v>0</v>
      </c>
      <c r="E118" s="230">
        <f t="shared" si="36"/>
        <v>0</v>
      </c>
      <c r="F118" s="293">
        <f t="shared" si="36"/>
        <v>0</v>
      </c>
      <c r="G118" s="230">
        <f t="shared" si="36"/>
        <v>0</v>
      </c>
      <c r="H118" s="293">
        <f t="shared" si="36"/>
        <v>0</v>
      </c>
      <c r="I118" s="230">
        <f t="shared" si="36"/>
        <v>0</v>
      </c>
      <c r="J118" s="293">
        <f t="shared" si="36"/>
        <v>0</v>
      </c>
      <c r="K118" s="230">
        <f t="shared" si="36"/>
        <v>0</v>
      </c>
      <c r="L118" s="293">
        <f t="shared" si="36"/>
        <v>0</v>
      </c>
      <c r="M118" s="230">
        <f t="shared" si="36"/>
        <v>0</v>
      </c>
      <c r="N118" s="293">
        <f t="shared" si="36"/>
        <v>0</v>
      </c>
      <c r="O118" s="230">
        <f t="shared" si="36"/>
        <v>0</v>
      </c>
      <c r="P118" s="293">
        <f t="shared" si="36"/>
        <v>0</v>
      </c>
      <c r="Q118" s="230">
        <f t="shared" si="36"/>
        <v>0</v>
      </c>
      <c r="R118" s="293">
        <f t="shared" si="36"/>
        <v>0</v>
      </c>
      <c r="S118" s="230">
        <f t="shared" si="36"/>
        <v>0</v>
      </c>
      <c r="T118" s="293">
        <f t="shared" si="36"/>
        <v>0</v>
      </c>
      <c r="U118" s="230">
        <f t="shared" si="36"/>
        <v>0</v>
      </c>
      <c r="V118" s="293">
        <f t="shared" si="36"/>
        <v>0</v>
      </c>
      <c r="W118" s="230">
        <f t="shared" si="36"/>
        <v>0</v>
      </c>
      <c r="X118" s="293">
        <f t="shared" si="36"/>
        <v>0</v>
      </c>
      <c r="Y118" s="230">
        <f t="shared" si="36"/>
        <v>0</v>
      </c>
      <c r="Z118" s="293">
        <f t="shared" si="36"/>
        <v>0</v>
      </c>
    </row>
    <row r="119" spans="1:26" x14ac:dyDescent="0.2">
      <c r="A119" s="699"/>
      <c r="B119" s="272" t="s">
        <v>380</v>
      </c>
      <c r="C119" s="230">
        <f t="shared" ref="C119:Z119" si="37">C$13-C108</f>
        <v>0</v>
      </c>
      <c r="D119" s="293">
        <f t="shared" si="37"/>
        <v>0</v>
      </c>
      <c r="E119" s="230">
        <f t="shared" si="37"/>
        <v>0</v>
      </c>
      <c r="F119" s="293">
        <f t="shared" si="37"/>
        <v>0</v>
      </c>
      <c r="G119" s="230">
        <f t="shared" si="37"/>
        <v>0</v>
      </c>
      <c r="H119" s="293">
        <f t="shared" si="37"/>
        <v>0</v>
      </c>
      <c r="I119" s="230">
        <f t="shared" si="37"/>
        <v>0</v>
      </c>
      <c r="J119" s="293">
        <f t="shared" si="37"/>
        <v>0</v>
      </c>
      <c r="K119" s="230">
        <f t="shared" si="37"/>
        <v>0</v>
      </c>
      <c r="L119" s="293">
        <f t="shared" si="37"/>
        <v>0</v>
      </c>
      <c r="M119" s="230">
        <f t="shared" si="37"/>
        <v>0</v>
      </c>
      <c r="N119" s="293">
        <f t="shared" si="37"/>
        <v>0</v>
      </c>
      <c r="O119" s="230">
        <f t="shared" si="37"/>
        <v>0</v>
      </c>
      <c r="P119" s="293">
        <f t="shared" si="37"/>
        <v>0</v>
      </c>
      <c r="Q119" s="230">
        <f t="shared" si="37"/>
        <v>0</v>
      </c>
      <c r="R119" s="293">
        <f t="shared" si="37"/>
        <v>0</v>
      </c>
      <c r="S119" s="230">
        <f t="shared" si="37"/>
        <v>0</v>
      </c>
      <c r="T119" s="293">
        <f t="shared" si="37"/>
        <v>0</v>
      </c>
      <c r="U119" s="230">
        <f t="shared" si="37"/>
        <v>0</v>
      </c>
      <c r="V119" s="293">
        <f t="shared" si="37"/>
        <v>0</v>
      </c>
      <c r="W119" s="230">
        <f t="shared" si="37"/>
        <v>0</v>
      </c>
      <c r="X119" s="293">
        <f t="shared" si="37"/>
        <v>0</v>
      </c>
      <c r="Y119" s="230">
        <f t="shared" si="37"/>
        <v>0</v>
      </c>
      <c r="Z119" s="293">
        <f t="shared" si="37"/>
        <v>0</v>
      </c>
    </row>
    <row r="120" spans="1:26" x14ac:dyDescent="0.2">
      <c r="A120" s="699"/>
      <c r="B120" s="272" t="s">
        <v>381</v>
      </c>
      <c r="C120" s="230">
        <f t="shared" ref="C120:Z120" si="38">C$14-C109</f>
        <v>0</v>
      </c>
      <c r="D120" s="293">
        <f t="shared" si="38"/>
        <v>0</v>
      </c>
      <c r="E120" s="230">
        <f t="shared" si="38"/>
        <v>0</v>
      </c>
      <c r="F120" s="293">
        <f t="shared" si="38"/>
        <v>0</v>
      </c>
      <c r="G120" s="230">
        <f t="shared" si="38"/>
        <v>0</v>
      </c>
      <c r="H120" s="293">
        <f t="shared" si="38"/>
        <v>0</v>
      </c>
      <c r="I120" s="230">
        <f t="shared" si="38"/>
        <v>0</v>
      </c>
      <c r="J120" s="293">
        <f t="shared" si="38"/>
        <v>0</v>
      </c>
      <c r="K120" s="230">
        <f t="shared" si="38"/>
        <v>0</v>
      </c>
      <c r="L120" s="293">
        <f t="shared" si="38"/>
        <v>0</v>
      </c>
      <c r="M120" s="230">
        <f t="shared" si="38"/>
        <v>0</v>
      </c>
      <c r="N120" s="293">
        <f t="shared" si="38"/>
        <v>0</v>
      </c>
      <c r="O120" s="230">
        <f t="shared" si="38"/>
        <v>0</v>
      </c>
      <c r="P120" s="293">
        <f t="shared" si="38"/>
        <v>0</v>
      </c>
      <c r="Q120" s="230">
        <f t="shared" si="38"/>
        <v>0</v>
      </c>
      <c r="R120" s="293">
        <f t="shared" si="38"/>
        <v>0</v>
      </c>
      <c r="S120" s="230">
        <f t="shared" si="38"/>
        <v>0</v>
      </c>
      <c r="T120" s="293">
        <f t="shared" si="38"/>
        <v>0</v>
      </c>
      <c r="U120" s="230">
        <f t="shared" si="38"/>
        <v>0</v>
      </c>
      <c r="V120" s="293">
        <f t="shared" si="38"/>
        <v>0</v>
      </c>
      <c r="W120" s="230">
        <f t="shared" si="38"/>
        <v>0</v>
      </c>
      <c r="X120" s="293">
        <f t="shared" si="38"/>
        <v>0</v>
      </c>
      <c r="Y120" s="230">
        <f t="shared" si="38"/>
        <v>0</v>
      </c>
      <c r="Z120" s="293">
        <f t="shared" si="38"/>
        <v>0</v>
      </c>
    </row>
    <row r="121" spans="1:26" s="20" customFormat="1" x14ac:dyDescent="0.2">
      <c r="A121" s="700"/>
      <c r="B121" s="274" t="s">
        <v>382</v>
      </c>
      <c r="C121" s="275">
        <f t="shared" ref="C121:Z121" si="39">C$15-C110</f>
        <v>5818</v>
      </c>
      <c r="D121" s="294">
        <f t="shared" si="39"/>
        <v>36.299999999999983</v>
      </c>
      <c r="E121" s="275">
        <f t="shared" si="39"/>
        <v>24520</v>
      </c>
      <c r="F121" s="294">
        <f t="shared" si="39"/>
        <v>27.300000000000011</v>
      </c>
      <c r="G121" s="275">
        <f t="shared" si="39"/>
        <v>9597</v>
      </c>
      <c r="H121" s="294">
        <f t="shared" si="39"/>
        <v>32</v>
      </c>
      <c r="I121" s="275">
        <f t="shared" si="39"/>
        <v>91073</v>
      </c>
      <c r="J121" s="294">
        <f t="shared" si="39"/>
        <v>25.299999999999983</v>
      </c>
      <c r="K121" s="275">
        <f t="shared" si="39"/>
        <v>74744</v>
      </c>
      <c r="L121" s="294">
        <f t="shared" si="39"/>
        <v>31.099999999999994</v>
      </c>
      <c r="M121" s="275">
        <f t="shared" si="39"/>
        <v>96362</v>
      </c>
      <c r="N121" s="294">
        <f t="shared" si="39"/>
        <v>26.699999999999989</v>
      </c>
      <c r="O121" s="275">
        <f t="shared" si="39"/>
        <v>100431</v>
      </c>
      <c r="P121" s="294">
        <f t="shared" si="39"/>
        <v>27.899999999999977</v>
      </c>
      <c r="Q121" s="275">
        <f t="shared" si="39"/>
        <v>80216</v>
      </c>
      <c r="R121" s="294">
        <f t="shared" si="39"/>
        <v>33.5</v>
      </c>
      <c r="S121" s="275">
        <f t="shared" si="39"/>
        <v>81586</v>
      </c>
      <c r="T121" s="294">
        <f t="shared" si="39"/>
        <v>34</v>
      </c>
      <c r="U121" s="275">
        <f t="shared" si="39"/>
        <v>159007</v>
      </c>
      <c r="V121" s="294">
        <f t="shared" si="39"/>
        <v>49.699999999999989</v>
      </c>
      <c r="W121" s="275">
        <f t="shared" si="39"/>
        <v>97826</v>
      </c>
      <c r="X121" s="294">
        <f t="shared" si="39"/>
        <v>27.199999999999989</v>
      </c>
      <c r="Y121" s="275">
        <f t="shared" si="39"/>
        <v>75304</v>
      </c>
      <c r="Z121" s="294">
        <f t="shared" si="39"/>
        <v>31.400000000000006</v>
      </c>
    </row>
    <row r="122" spans="1:26" s="20" customFormat="1" x14ac:dyDescent="0.2">
      <c r="A122" s="266"/>
      <c r="B122" s="227"/>
      <c r="C122" s="267"/>
      <c r="D122" s="232"/>
      <c r="E122" s="268"/>
      <c r="F122" s="237"/>
      <c r="G122" s="267"/>
      <c r="H122" s="232"/>
      <c r="I122" s="267"/>
      <c r="J122" s="232"/>
      <c r="K122" s="267"/>
      <c r="L122" s="232"/>
      <c r="M122" s="267"/>
      <c r="N122" s="232"/>
      <c r="O122" s="267"/>
      <c r="P122" s="232"/>
      <c r="Q122" s="267"/>
      <c r="R122" s="232"/>
      <c r="S122" s="267"/>
      <c r="T122" s="232"/>
      <c r="U122" s="267"/>
      <c r="V122" s="232"/>
      <c r="W122" s="267"/>
      <c r="X122" s="232"/>
      <c r="Y122" s="267"/>
      <c r="Z122" s="232"/>
    </row>
    <row r="123" spans="1:26" s="202" customFormat="1" ht="13.15" customHeight="1" x14ac:dyDescent="0.2">
      <c r="A123" s="698" t="s">
        <v>514</v>
      </c>
      <c r="B123" s="269" t="s">
        <v>488</v>
      </c>
      <c r="C123" s="304" t="s">
        <v>486</v>
      </c>
      <c r="D123" s="280" t="s">
        <v>487</v>
      </c>
      <c r="E123" s="304" t="s">
        <v>486</v>
      </c>
      <c r="F123" s="280" t="s">
        <v>487</v>
      </c>
      <c r="G123" s="304" t="s">
        <v>486</v>
      </c>
      <c r="H123" s="280" t="s">
        <v>487</v>
      </c>
      <c r="I123" s="304" t="s">
        <v>486</v>
      </c>
      <c r="J123" s="280" t="s">
        <v>487</v>
      </c>
      <c r="K123" s="304" t="s">
        <v>486</v>
      </c>
      <c r="L123" s="280" t="s">
        <v>487</v>
      </c>
      <c r="M123" s="304" t="s">
        <v>486</v>
      </c>
      <c r="N123" s="280" t="s">
        <v>487</v>
      </c>
      <c r="O123" s="304" t="s">
        <v>486</v>
      </c>
      <c r="P123" s="280" t="s">
        <v>487</v>
      </c>
      <c r="Q123" s="304" t="s">
        <v>486</v>
      </c>
      <c r="R123" s="280" t="s">
        <v>487</v>
      </c>
      <c r="S123" s="304" t="s">
        <v>486</v>
      </c>
      <c r="T123" s="280" t="s">
        <v>487</v>
      </c>
      <c r="U123" s="304" t="s">
        <v>486</v>
      </c>
      <c r="V123" s="280" t="s">
        <v>487</v>
      </c>
      <c r="W123" s="304" t="s">
        <v>486</v>
      </c>
      <c r="X123" s="280" t="s">
        <v>487</v>
      </c>
      <c r="Y123" s="304" t="s">
        <v>486</v>
      </c>
      <c r="Z123" s="314" t="s">
        <v>487</v>
      </c>
    </row>
    <row r="124" spans="1:26" x14ac:dyDescent="0.2">
      <c r="A124" s="699"/>
      <c r="B124" s="316" t="s">
        <v>14</v>
      </c>
      <c r="C124" s="305">
        <f>'6 Oversikt startpunkt'!B15</f>
        <v>0</v>
      </c>
      <c r="D124" s="612">
        <v>0.85</v>
      </c>
      <c r="E124" s="613">
        <f>'6 Oversikt startpunkt'!C15</f>
        <v>0</v>
      </c>
      <c r="F124" s="612">
        <v>0.85</v>
      </c>
      <c r="G124" s="209">
        <f>'6 Oversikt startpunkt'!D15</f>
        <v>0.7</v>
      </c>
      <c r="H124" s="399">
        <v>0.8</v>
      </c>
      <c r="I124" s="305">
        <f>'6 Oversikt startpunkt'!E15</f>
        <v>0.7</v>
      </c>
      <c r="J124" s="399">
        <v>0.8</v>
      </c>
      <c r="K124" s="209">
        <f>'6 Oversikt startpunkt'!F15</f>
        <v>0.7</v>
      </c>
      <c r="L124" s="399">
        <v>0.8</v>
      </c>
      <c r="M124" s="305">
        <f>'6 Oversikt startpunkt'!G15</f>
        <v>0.7</v>
      </c>
      <c r="N124" s="399">
        <v>0.8</v>
      </c>
      <c r="O124" s="209">
        <f>'6 Oversikt startpunkt'!H15</f>
        <v>0.7</v>
      </c>
      <c r="P124" s="399">
        <v>0.8</v>
      </c>
      <c r="Q124" s="305">
        <f>'6 Oversikt startpunkt'!I15</f>
        <v>0.7</v>
      </c>
      <c r="R124" s="399">
        <v>0.8</v>
      </c>
      <c r="S124" s="209">
        <f>'6 Oversikt startpunkt'!J15</f>
        <v>0.7</v>
      </c>
      <c r="T124" s="399">
        <v>0.8</v>
      </c>
      <c r="U124" s="305">
        <f>'6 Oversikt startpunkt'!K15</f>
        <v>0.7</v>
      </c>
      <c r="V124" s="399">
        <v>0.8</v>
      </c>
      <c r="W124" s="209">
        <f>'6 Oversikt startpunkt'!L15</f>
        <v>0.7</v>
      </c>
      <c r="X124" s="399">
        <v>0.8</v>
      </c>
      <c r="Y124" s="305">
        <f>'6 Oversikt startpunkt'!M15</f>
        <v>0.7</v>
      </c>
      <c r="Z124" s="399">
        <v>0.8</v>
      </c>
    </row>
    <row r="125" spans="1:26" x14ac:dyDescent="0.2">
      <c r="A125" s="699"/>
      <c r="B125" s="243" t="s">
        <v>510</v>
      </c>
      <c r="C125" s="305" t="str">
        <f>'6 Oversikt startpunkt'!B16</f>
        <v>Mekanisk avtrekk</v>
      </c>
      <c r="D125" s="399" t="str">
        <f>'7 Passivhusnivå'!C35</f>
        <v>Ingen</v>
      </c>
      <c r="E125" s="305" t="str">
        <f>'6 Oversikt startpunkt'!C16</f>
        <v>Mekanisk avtrekk</v>
      </c>
      <c r="F125" s="399" t="str">
        <f>'7 Passivhusnivå'!D35</f>
        <v>Ingen</v>
      </c>
      <c r="G125" s="209">
        <f>'6 Oversikt startpunkt'!D16</f>
        <v>-6</v>
      </c>
      <c r="H125" s="209" t="str">
        <f>'7 Passivhusnivå'!F35</f>
        <v>Ingen</v>
      </c>
      <c r="I125" s="305">
        <f>'6 Oversikt startpunkt'!E16</f>
        <v>-6</v>
      </c>
      <c r="J125" s="399" t="str">
        <f>'7 Passivhusnivå'!G35</f>
        <v>Ingen</v>
      </c>
      <c r="K125" s="209">
        <f>'6 Oversikt startpunkt'!F16</f>
        <v>-6</v>
      </c>
      <c r="L125" s="209" t="str">
        <f>'7 Passivhusnivå'!H35</f>
        <v>Ingen</v>
      </c>
      <c r="M125" s="305">
        <f>'6 Oversikt startpunkt'!G16</f>
        <v>-6</v>
      </c>
      <c r="N125" s="399" t="str">
        <f>'7 Passivhusnivå'!I35</f>
        <v>Ingen</v>
      </c>
      <c r="O125" s="209">
        <f>'6 Oversikt startpunkt'!H16</f>
        <v>-6</v>
      </c>
      <c r="P125" s="209" t="str">
        <f>'7 Passivhusnivå'!J35</f>
        <v>Ingen</v>
      </c>
      <c r="Q125" s="305">
        <f>'6 Oversikt startpunkt'!I16</f>
        <v>-6</v>
      </c>
      <c r="R125" s="399" t="str">
        <f>'7 Passivhusnivå'!K35</f>
        <v>Ingen</v>
      </c>
      <c r="S125" s="209">
        <f>'6 Oversikt startpunkt'!J16</f>
        <v>-6</v>
      </c>
      <c r="T125" s="209" t="str">
        <f>'7 Passivhusnivå'!L35</f>
        <v>Ingen</v>
      </c>
      <c r="U125" s="305">
        <f>'6 Oversikt startpunkt'!K16</f>
        <v>-6</v>
      </c>
      <c r="V125" s="399" t="str">
        <f>'7 Passivhusnivå'!M35</f>
        <v>Ingen</v>
      </c>
      <c r="W125" s="209">
        <f>'6 Oversikt startpunkt'!L16</f>
        <v>-6</v>
      </c>
      <c r="X125" s="209" t="str">
        <f>'7 Passivhusnivå'!N35</f>
        <v>Ingen</v>
      </c>
      <c r="Y125" s="305">
        <f>'6 Oversikt startpunkt'!M16</f>
        <v>-6</v>
      </c>
      <c r="Z125" s="399" t="str">
        <f>'7 Passivhusnivå'!O35</f>
        <v>Ingen</v>
      </c>
    </row>
    <row r="126" spans="1:26" x14ac:dyDescent="0.2">
      <c r="A126" s="699"/>
      <c r="B126" s="243" t="s">
        <v>283</v>
      </c>
      <c r="C126" s="305">
        <f>'6 Oversikt startpunkt'!B17</f>
        <v>2</v>
      </c>
      <c r="D126" s="399">
        <f>'7 Passivhusnivå'!C36</f>
        <v>1.5</v>
      </c>
      <c r="E126" s="305">
        <f>'6 Oversikt startpunkt'!C17</f>
        <v>2</v>
      </c>
      <c r="F126" s="399">
        <f>'7 Passivhusnivå'!D36</f>
        <v>1.5</v>
      </c>
      <c r="G126" s="209"/>
      <c r="H126" s="209"/>
      <c r="I126" s="305"/>
      <c r="J126" s="399"/>
      <c r="K126" s="209"/>
      <c r="L126" s="209"/>
      <c r="M126" s="305"/>
      <c r="N126" s="367"/>
      <c r="O126" s="209"/>
      <c r="P126" s="209"/>
      <c r="Q126" s="305"/>
      <c r="R126" s="367"/>
      <c r="S126" s="209"/>
      <c r="T126" s="209"/>
      <c r="U126" s="305"/>
      <c r="V126" s="367"/>
      <c r="W126" s="209"/>
      <c r="X126" s="209"/>
      <c r="Y126" s="305"/>
      <c r="Z126" s="399"/>
    </row>
    <row r="127" spans="1:26" s="216" customFormat="1" x14ac:dyDescent="0.2">
      <c r="A127" s="699"/>
      <c r="B127" s="288" t="s">
        <v>490</v>
      </c>
      <c r="C127" s="289" t="s">
        <v>372</v>
      </c>
      <c r="D127" s="290" t="s">
        <v>397</v>
      </c>
      <c r="E127" s="289" t="s">
        <v>372</v>
      </c>
      <c r="F127" s="291" t="s">
        <v>397</v>
      </c>
      <c r="G127" s="292" t="s">
        <v>372</v>
      </c>
      <c r="H127" s="290" t="s">
        <v>397</v>
      </c>
      <c r="I127" s="289" t="s">
        <v>372</v>
      </c>
      <c r="J127" s="291" t="s">
        <v>397</v>
      </c>
      <c r="K127" s="292" t="s">
        <v>372</v>
      </c>
      <c r="L127" s="290" t="s">
        <v>397</v>
      </c>
      <c r="M127" s="289" t="s">
        <v>372</v>
      </c>
      <c r="N127" s="290" t="s">
        <v>397</v>
      </c>
      <c r="O127" s="289" t="s">
        <v>372</v>
      </c>
      <c r="P127" s="290" t="s">
        <v>397</v>
      </c>
      <c r="Q127" s="289" t="s">
        <v>372</v>
      </c>
      <c r="R127" s="290" t="s">
        <v>397</v>
      </c>
      <c r="S127" s="289" t="s">
        <v>372</v>
      </c>
      <c r="T127" s="290" t="s">
        <v>397</v>
      </c>
      <c r="U127" s="289" t="s">
        <v>372</v>
      </c>
      <c r="V127" s="290" t="s">
        <v>397</v>
      </c>
      <c r="W127" s="289" t="s">
        <v>372</v>
      </c>
      <c r="X127" s="290" t="s">
        <v>397</v>
      </c>
      <c r="Y127" s="289" t="s">
        <v>372</v>
      </c>
      <c r="Z127" s="291" t="s">
        <v>397</v>
      </c>
    </row>
    <row r="128" spans="1:26" x14ac:dyDescent="0.2">
      <c r="A128" s="699"/>
      <c r="B128" s="272" t="s">
        <v>373</v>
      </c>
      <c r="C128" s="230">
        <v>15683</v>
      </c>
      <c r="D128" s="231">
        <v>98</v>
      </c>
      <c r="E128" s="230">
        <v>51848</v>
      </c>
      <c r="F128" s="273">
        <v>57.6</v>
      </c>
      <c r="G128" s="285">
        <v>31024</v>
      </c>
      <c r="H128" s="231">
        <v>103.4</v>
      </c>
      <c r="I128" s="230">
        <v>150886</v>
      </c>
      <c r="J128" s="273">
        <v>41.9</v>
      </c>
      <c r="K128" s="285">
        <v>151368</v>
      </c>
      <c r="L128" s="231">
        <v>63.1</v>
      </c>
      <c r="M128" s="230">
        <v>167783</v>
      </c>
      <c r="N128" s="231">
        <v>46.6</v>
      </c>
      <c r="O128" s="230">
        <v>291373</v>
      </c>
      <c r="P128" s="231">
        <v>80.900000000000006</v>
      </c>
      <c r="Q128" s="230">
        <v>179649</v>
      </c>
      <c r="R128" s="231">
        <v>74.900000000000006</v>
      </c>
      <c r="S128" s="230">
        <v>216799</v>
      </c>
      <c r="T128" s="231">
        <v>90.3</v>
      </c>
      <c r="U128" s="230">
        <v>298655</v>
      </c>
      <c r="V128" s="231">
        <v>93.3</v>
      </c>
      <c r="W128" s="230">
        <v>217258</v>
      </c>
      <c r="X128" s="231">
        <v>60.3</v>
      </c>
      <c r="Y128" s="230">
        <v>221406</v>
      </c>
      <c r="Z128" s="273">
        <v>92.3</v>
      </c>
    </row>
    <row r="129" spans="1:26" x14ac:dyDescent="0.2">
      <c r="A129" s="699"/>
      <c r="B129" s="272" t="s">
        <v>374</v>
      </c>
      <c r="C129" s="230">
        <v>112</v>
      </c>
      <c r="D129" s="231">
        <v>0.7</v>
      </c>
      <c r="E129" s="230">
        <v>757</v>
      </c>
      <c r="F129" s="273">
        <v>0.8</v>
      </c>
      <c r="G129" s="285">
        <v>200</v>
      </c>
      <c r="H129" s="231">
        <v>0.7</v>
      </c>
      <c r="I129" s="230">
        <v>2434</v>
      </c>
      <c r="J129" s="273">
        <v>0.7</v>
      </c>
      <c r="K129" s="285">
        <v>2012</v>
      </c>
      <c r="L129" s="231">
        <v>0.8</v>
      </c>
      <c r="M129" s="230">
        <v>3171</v>
      </c>
      <c r="N129" s="231">
        <v>0.9</v>
      </c>
      <c r="O129" s="230">
        <v>16279</v>
      </c>
      <c r="P129" s="231">
        <v>4.5</v>
      </c>
      <c r="Q129" s="230">
        <v>10963</v>
      </c>
      <c r="R129" s="231">
        <v>4.5999999999999996</v>
      </c>
      <c r="S129" s="230">
        <v>2702</v>
      </c>
      <c r="T129" s="231">
        <v>1.1000000000000001</v>
      </c>
      <c r="U129" s="230">
        <v>20064</v>
      </c>
      <c r="V129" s="231">
        <v>6.3</v>
      </c>
      <c r="W129" s="230">
        <v>4810</v>
      </c>
      <c r="X129" s="231">
        <v>1.3</v>
      </c>
      <c r="Y129" s="230">
        <v>1425</v>
      </c>
      <c r="Z129" s="273">
        <v>0.6</v>
      </c>
    </row>
    <row r="130" spans="1:26" x14ac:dyDescent="0.2">
      <c r="A130" s="699"/>
      <c r="B130" s="272" t="s">
        <v>375</v>
      </c>
      <c r="C130" s="230">
        <v>4765</v>
      </c>
      <c r="D130" s="231">
        <v>29.8</v>
      </c>
      <c r="E130" s="230">
        <v>26792</v>
      </c>
      <c r="F130" s="273">
        <v>29.8</v>
      </c>
      <c r="G130" s="285">
        <v>3007</v>
      </c>
      <c r="H130" s="231">
        <v>10</v>
      </c>
      <c r="I130" s="230">
        <v>18040</v>
      </c>
      <c r="J130" s="273">
        <v>5</v>
      </c>
      <c r="K130" s="285">
        <v>23530</v>
      </c>
      <c r="L130" s="231">
        <v>9.8000000000000007</v>
      </c>
      <c r="M130" s="230">
        <v>18040</v>
      </c>
      <c r="N130" s="231">
        <v>5</v>
      </c>
      <c r="O130" s="230">
        <v>107170</v>
      </c>
      <c r="P130" s="231">
        <v>29.8</v>
      </c>
      <c r="Q130" s="230">
        <v>71482</v>
      </c>
      <c r="R130" s="231">
        <v>29.8</v>
      </c>
      <c r="S130" s="230">
        <v>71482</v>
      </c>
      <c r="T130" s="231">
        <v>29.8</v>
      </c>
      <c r="U130" s="230">
        <v>156864</v>
      </c>
      <c r="V130" s="231">
        <v>49</v>
      </c>
      <c r="W130" s="230">
        <v>36408</v>
      </c>
      <c r="X130" s="231">
        <v>10.1</v>
      </c>
      <c r="Y130" s="230">
        <v>24054</v>
      </c>
      <c r="Z130" s="273">
        <v>10</v>
      </c>
    </row>
    <row r="131" spans="1:26" x14ac:dyDescent="0.2">
      <c r="A131" s="699"/>
      <c r="B131" s="272" t="s">
        <v>376</v>
      </c>
      <c r="C131" s="230">
        <v>701</v>
      </c>
      <c r="D131" s="231">
        <v>4.4000000000000004</v>
      </c>
      <c r="E131" s="230">
        <v>4925</v>
      </c>
      <c r="F131" s="273">
        <v>5.5</v>
      </c>
      <c r="G131" s="285">
        <v>7830</v>
      </c>
      <c r="H131" s="231">
        <v>26.1</v>
      </c>
      <c r="I131" s="230">
        <v>93974</v>
      </c>
      <c r="J131" s="273">
        <v>26.1</v>
      </c>
      <c r="K131" s="285">
        <v>68800</v>
      </c>
      <c r="L131" s="231">
        <v>28.7</v>
      </c>
      <c r="M131" s="230">
        <v>122166</v>
      </c>
      <c r="N131" s="231">
        <v>33.9</v>
      </c>
      <c r="O131" s="230">
        <v>292652</v>
      </c>
      <c r="P131" s="231">
        <v>81.3</v>
      </c>
      <c r="Q131" s="230">
        <v>171598</v>
      </c>
      <c r="R131" s="231">
        <v>71.5</v>
      </c>
      <c r="S131" s="230">
        <v>116800</v>
      </c>
      <c r="T131" s="231">
        <v>48.7</v>
      </c>
      <c r="U131" s="230">
        <v>82560</v>
      </c>
      <c r="V131" s="231">
        <v>25.8</v>
      </c>
      <c r="W131" s="230">
        <v>224688</v>
      </c>
      <c r="X131" s="231">
        <v>62.4</v>
      </c>
      <c r="Y131" s="230">
        <v>68904</v>
      </c>
      <c r="Z131" s="273">
        <v>28.7</v>
      </c>
    </row>
    <row r="132" spans="1:26" x14ac:dyDescent="0.2">
      <c r="A132" s="699"/>
      <c r="B132" s="272" t="s">
        <v>377</v>
      </c>
      <c r="C132" s="230">
        <v>109</v>
      </c>
      <c r="D132" s="231">
        <v>0.7</v>
      </c>
      <c r="E132" s="230">
        <v>392</v>
      </c>
      <c r="F132" s="273">
        <v>0.4</v>
      </c>
      <c r="G132" s="285">
        <v>291</v>
      </c>
      <c r="H132" s="231">
        <v>1</v>
      </c>
      <c r="I132" s="230">
        <v>7129</v>
      </c>
      <c r="J132" s="273">
        <v>2</v>
      </c>
      <c r="K132" s="285">
        <v>1795</v>
      </c>
      <c r="L132" s="231">
        <v>0.7</v>
      </c>
      <c r="M132" s="230">
        <v>8193</v>
      </c>
      <c r="N132" s="231">
        <v>2.2999999999999998</v>
      </c>
      <c r="O132" s="230">
        <v>9981</v>
      </c>
      <c r="P132" s="231">
        <v>2.8</v>
      </c>
      <c r="Q132" s="230">
        <v>1595</v>
      </c>
      <c r="R132" s="231">
        <v>0.7</v>
      </c>
      <c r="S132" s="230">
        <v>5128</v>
      </c>
      <c r="T132" s="231">
        <v>2.1</v>
      </c>
      <c r="U132" s="230">
        <v>2963</v>
      </c>
      <c r="V132" s="231">
        <v>0.9</v>
      </c>
      <c r="W132" s="230">
        <v>11334</v>
      </c>
      <c r="X132" s="231">
        <v>3.1</v>
      </c>
      <c r="Y132" s="230">
        <v>6044</v>
      </c>
      <c r="Z132" s="273">
        <v>2.5</v>
      </c>
    </row>
    <row r="133" spans="1:26" x14ac:dyDescent="0.2">
      <c r="A133" s="699"/>
      <c r="B133" s="272" t="s">
        <v>378</v>
      </c>
      <c r="C133" s="230">
        <v>1822</v>
      </c>
      <c r="D133" s="231">
        <v>11.4</v>
      </c>
      <c r="E133" s="230">
        <v>10253</v>
      </c>
      <c r="F133" s="273">
        <v>11.4</v>
      </c>
      <c r="G133" s="285">
        <v>7830</v>
      </c>
      <c r="H133" s="231">
        <v>26.1</v>
      </c>
      <c r="I133" s="230">
        <v>112752</v>
      </c>
      <c r="J133" s="273">
        <v>31.3</v>
      </c>
      <c r="K133" s="285">
        <v>64500</v>
      </c>
      <c r="L133" s="231">
        <v>26.9</v>
      </c>
      <c r="M133" s="230">
        <v>112752</v>
      </c>
      <c r="N133" s="231">
        <v>31.3</v>
      </c>
      <c r="O133" s="230">
        <v>210172</v>
      </c>
      <c r="P133" s="231">
        <v>58.4</v>
      </c>
      <c r="Q133" s="230">
        <v>140160</v>
      </c>
      <c r="R133" s="231">
        <v>58.4</v>
      </c>
      <c r="S133" s="230">
        <v>140160</v>
      </c>
      <c r="T133" s="231">
        <v>58.4</v>
      </c>
      <c r="U133" s="230">
        <v>82560</v>
      </c>
      <c r="V133" s="231">
        <v>25.8</v>
      </c>
      <c r="W133" s="230">
        <v>252746</v>
      </c>
      <c r="X133" s="231">
        <v>70.2</v>
      </c>
      <c r="Y133" s="230">
        <v>68904</v>
      </c>
      <c r="Z133" s="273">
        <v>28.7</v>
      </c>
    </row>
    <row r="134" spans="1:26" x14ac:dyDescent="0.2">
      <c r="A134" s="699"/>
      <c r="B134" s="272" t="s">
        <v>379</v>
      </c>
      <c r="C134" s="230">
        <v>2803</v>
      </c>
      <c r="D134" s="231">
        <v>17.5</v>
      </c>
      <c r="E134" s="230">
        <v>15768</v>
      </c>
      <c r="F134" s="273">
        <v>17.5</v>
      </c>
      <c r="G134" s="285">
        <v>1566</v>
      </c>
      <c r="H134" s="231">
        <v>5.2</v>
      </c>
      <c r="I134" s="230">
        <v>124050</v>
      </c>
      <c r="J134" s="273">
        <v>34.5</v>
      </c>
      <c r="K134" s="285">
        <v>30960</v>
      </c>
      <c r="L134" s="231">
        <v>12.9</v>
      </c>
      <c r="M134" s="230">
        <v>124050</v>
      </c>
      <c r="N134" s="231">
        <v>34.5</v>
      </c>
      <c r="O134" s="230">
        <v>168192</v>
      </c>
      <c r="P134" s="231">
        <v>46.7</v>
      </c>
      <c r="Q134" s="230">
        <v>56064</v>
      </c>
      <c r="R134" s="231">
        <v>23.4</v>
      </c>
      <c r="S134" s="230">
        <v>14016</v>
      </c>
      <c r="T134" s="231">
        <v>5.8</v>
      </c>
      <c r="U134" s="230">
        <v>8256</v>
      </c>
      <c r="V134" s="231">
        <v>2.6</v>
      </c>
      <c r="W134" s="230">
        <v>13478</v>
      </c>
      <c r="X134" s="231">
        <v>3.7</v>
      </c>
      <c r="Y134" s="230">
        <v>6890</v>
      </c>
      <c r="Z134" s="273">
        <v>2.9</v>
      </c>
    </row>
    <row r="135" spans="1:26" x14ac:dyDescent="0.2">
      <c r="A135" s="699"/>
      <c r="B135" s="272" t="s">
        <v>380</v>
      </c>
      <c r="C135" s="230">
        <v>0</v>
      </c>
      <c r="D135" s="231">
        <v>0</v>
      </c>
      <c r="E135" s="235">
        <v>0</v>
      </c>
      <c r="F135" s="273">
        <v>0</v>
      </c>
      <c r="G135" s="285">
        <v>0</v>
      </c>
      <c r="H135" s="231">
        <v>0</v>
      </c>
      <c r="I135" s="230">
        <v>0</v>
      </c>
      <c r="J135" s="273">
        <v>0</v>
      </c>
      <c r="K135" s="285">
        <v>0</v>
      </c>
      <c r="L135" s="231">
        <v>0</v>
      </c>
      <c r="M135" s="230">
        <v>0</v>
      </c>
      <c r="N135" s="231">
        <v>0</v>
      </c>
      <c r="O135" s="230">
        <v>0</v>
      </c>
      <c r="P135" s="231">
        <v>0</v>
      </c>
      <c r="Q135" s="230">
        <v>0</v>
      </c>
      <c r="R135" s="231">
        <v>0</v>
      </c>
      <c r="S135" s="230">
        <v>0</v>
      </c>
      <c r="T135" s="231">
        <v>0</v>
      </c>
      <c r="U135" s="230">
        <v>0</v>
      </c>
      <c r="V135" s="231">
        <v>0</v>
      </c>
      <c r="W135" s="230">
        <v>0</v>
      </c>
      <c r="X135" s="231">
        <v>0</v>
      </c>
      <c r="Y135" s="230">
        <v>0</v>
      </c>
      <c r="Z135" s="273">
        <v>0</v>
      </c>
    </row>
    <row r="136" spans="1:26" x14ac:dyDescent="0.2">
      <c r="A136" s="699"/>
      <c r="B136" s="272" t="s">
        <v>381</v>
      </c>
      <c r="C136" s="230">
        <v>0</v>
      </c>
      <c r="D136" s="231">
        <v>0</v>
      </c>
      <c r="E136" s="235">
        <v>0</v>
      </c>
      <c r="F136" s="273">
        <v>0</v>
      </c>
      <c r="G136" s="285">
        <v>0</v>
      </c>
      <c r="H136" s="231">
        <v>0</v>
      </c>
      <c r="I136" s="230">
        <v>20235</v>
      </c>
      <c r="J136" s="273">
        <v>5.6</v>
      </c>
      <c r="K136" s="285">
        <v>0</v>
      </c>
      <c r="L136" s="231">
        <v>0</v>
      </c>
      <c r="M136" s="230">
        <v>26017</v>
      </c>
      <c r="N136" s="231">
        <v>7.2</v>
      </c>
      <c r="O136" s="230">
        <v>51513</v>
      </c>
      <c r="P136" s="231">
        <v>14.3</v>
      </c>
      <c r="Q136" s="230">
        <v>0</v>
      </c>
      <c r="R136" s="231">
        <v>0</v>
      </c>
      <c r="S136" s="230">
        <v>22800</v>
      </c>
      <c r="T136" s="231">
        <v>9.5</v>
      </c>
      <c r="U136" s="230">
        <v>0</v>
      </c>
      <c r="V136" s="231">
        <v>0</v>
      </c>
      <c r="W136" s="230">
        <v>53219</v>
      </c>
      <c r="X136" s="231">
        <v>14.8</v>
      </c>
      <c r="Y136" s="230">
        <v>17590</v>
      </c>
      <c r="Z136" s="273">
        <v>7.3</v>
      </c>
    </row>
    <row r="137" spans="1:26" s="20" customFormat="1" x14ac:dyDescent="0.2">
      <c r="A137" s="699"/>
      <c r="B137" s="274" t="s">
        <v>382</v>
      </c>
      <c r="C137" s="275">
        <v>25996</v>
      </c>
      <c r="D137" s="276">
        <v>162.5</v>
      </c>
      <c r="E137" s="277">
        <v>110735</v>
      </c>
      <c r="F137" s="287">
        <v>123</v>
      </c>
      <c r="G137" s="286">
        <v>51747</v>
      </c>
      <c r="H137" s="276">
        <v>172.5</v>
      </c>
      <c r="I137" s="275">
        <v>529501</v>
      </c>
      <c r="J137" s="279">
        <v>147.1</v>
      </c>
      <c r="K137" s="286">
        <v>342964</v>
      </c>
      <c r="L137" s="276">
        <v>142.9</v>
      </c>
      <c r="M137" s="275">
        <v>582173</v>
      </c>
      <c r="N137" s="276">
        <v>161.69999999999999</v>
      </c>
      <c r="O137" s="275">
        <v>1147333</v>
      </c>
      <c r="P137" s="276">
        <v>318.7</v>
      </c>
      <c r="Q137" s="275">
        <v>631509</v>
      </c>
      <c r="R137" s="276">
        <v>263.10000000000002</v>
      </c>
      <c r="S137" s="275">
        <v>589888</v>
      </c>
      <c r="T137" s="276">
        <v>245.8</v>
      </c>
      <c r="U137" s="275">
        <v>651922</v>
      </c>
      <c r="V137" s="276">
        <v>203.7</v>
      </c>
      <c r="W137" s="275">
        <v>813942</v>
      </c>
      <c r="X137" s="276">
        <v>226.1</v>
      </c>
      <c r="Y137" s="275">
        <v>415217</v>
      </c>
      <c r="Z137" s="279">
        <v>173</v>
      </c>
    </row>
    <row r="138" spans="1:26" s="216" customFormat="1" x14ac:dyDescent="0.2">
      <c r="A138" s="699"/>
      <c r="B138" s="283" t="s">
        <v>491</v>
      </c>
      <c r="C138" s="289" t="s">
        <v>372</v>
      </c>
      <c r="D138" s="291" t="s">
        <v>397</v>
      </c>
      <c r="E138" s="289" t="s">
        <v>372</v>
      </c>
      <c r="F138" s="291" t="s">
        <v>397</v>
      </c>
      <c r="G138" s="289" t="s">
        <v>372</v>
      </c>
      <c r="H138" s="291" t="s">
        <v>397</v>
      </c>
      <c r="I138" s="289" t="s">
        <v>372</v>
      </c>
      <c r="J138" s="291" t="s">
        <v>397</v>
      </c>
      <c r="K138" s="289" t="s">
        <v>372</v>
      </c>
      <c r="L138" s="291" t="s">
        <v>397</v>
      </c>
      <c r="M138" s="289" t="s">
        <v>372</v>
      </c>
      <c r="N138" s="291" t="s">
        <v>397</v>
      </c>
      <c r="O138" s="289" t="s">
        <v>372</v>
      </c>
      <c r="P138" s="291" t="s">
        <v>397</v>
      </c>
      <c r="Q138" s="289" t="s">
        <v>372</v>
      </c>
      <c r="R138" s="291" t="s">
        <v>397</v>
      </c>
      <c r="S138" s="289" t="s">
        <v>372</v>
      </c>
      <c r="T138" s="291" t="s">
        <v>397</v>
      </c>
      <c r="U138" s="289" t="s">
        <v>372</v>
      </c>
      <c r="V138" s="291" t="s">
        <v>397</v>
      </c>
      <c r="W138" s="289" t="s">
        <v>372</v>
      </c>
      <c r="X138" s="291" t="s">
        <v>397</v>
      </c>
      <c r="Y138" s="289" t="s">
        <v>372</v>
      </c>
      <c r="Z138" s="291" t="s">
        <v>397</v>
      </c>
    </row>
    <row r="139" spans="1:26" x14ac:dyDescent="0.2">
      <c r="A139" s="699"/>
      <c r="B139" s="272" t="s">
        <v>373</v>
      </c>
      <c r="C139" s="230">
        <f>C$6-C128</f>
        <v>2775</v>
      </c>
      <c r="D139" s="293">
        <f t="shared" ref="D139:Z139" si="40">D$6-D128</f>
        <v>17.400000000000006</v>
      </c>
      <c r="E139" s="230">
        <f t="shared" si="40"/>
        <v>32509</v>
      </c>
      <c r="F139" s="293">
        <f t="shared" si="40"/>
        <v>36.1</v>
      </c>
      <c r="G139" s="230">
        <f t="shared" si="40"/>
        <v>0</v>
      </c>
      <c r="H139" s="293">
        <f t="shared" si="40"/>
        <v>0</v>
      </c>
      <c r="I139" s="230">
        <f t="shared" si="40"/>
        <v>0</v>
      </c>
      <c r="J139" s="293">
        <f t="shared" si="40"/>
        <v>0</v>
      </c>
      <c r="K139" s="230">
        <f t="shared" si="40"/>
        <v>0</v>
      </c>
      <c r="L139" s="293">
        <f t="shared" si="40"/>
        <v>0</v>
      </c>
      <c r="M139" s="230">
        <f t="shared" si="40"/>
        <v>0</v>
      </c>
      <c r="N139" s="293">
        <f t="shared" si="40"/>
        <v>0</v>
      </c>
      <c r="O139" s="230">
        <f t="shared" si="40"/>
        <v>0</v>
      </c>
      <c r="P139" s="293">
        <f t="shared" si="40"/>
        <v>0</v>
      </c>
      <c r="Q139" s="230">
        <f t="shared" si="40"/>
        <v>0</v>
      </c>
      <c r="R139" s="293">
        <f t="shared" si="40"/>
        <v>0</v>
      </c>
      <c r="S139" s="230">
        <f t="shared" si="40"/>
        <v>0</v>
      </c>
      <c r="T139" s="293">
        <f t="shared" si="40"/>
        <v>0</v>
      </c>
      <c r="U139" s="230">
        <f t="shared" si="40"/>
        <v>0</v>
      </c>
      <c r="V139" s="293">
        <f t="shared" si="40"/>
        <v>0</v>
      </c>
      <c r="W139" s="230">
        <f t="shared" si="40"/>
        <v>0</v>
      </c>
      <c r="X139" s="293">
        <f t="shared" si="40"/>
        <v>0</v>
      </c>
      <c r="Y139" s="230">
        <f t="shared" si="40"/>
        <v>0</v>
      </c>
      <c r="Z139" s="293">
        <f t="shared" si="40"/>
        <v>0</v>
      </c>
    </row>
    <row r="140" spans="1:26" x14ac:dyDescent="0.2">
      <c r="A140" s="699"/>
      <c r="B140" s="272" t="s">
        <v>374</v>
      </c>
      <c r="C140" s="230">
        <f t="shared" ref="C140:Z140" si="41">C$7-C129</f>
        <v>-112</v>
      </c>
      <c r="D140" s="293">
        <f t="shared" si="41"/>
        <v>-0.7</v>
      </c>
      <c r="E140" s="230">
        <f t="shared" si="41"/>
        <v>-757</v>
      </c>
      <c r="F140" s="293">
        <f t="shared" si="41"/>
        <v>-0.8</v>
      </c>
      <c r="G140" s="230">
        <f t="shared" si="41"/>
        <v>1783</v>
      </c>
      <c r="H140" s="293">
        <f t="shared" si="41"/>
        <v>5.8999999999999995</v>
      </c>
      <c r="I140" s="230">
        <f t="shared" si="41"/>
        <v>21788</v>
      </c>
      <c r="J140" s="293">
        <f t="shared" si="41"/>
        <v>6</v>
      </c>
      <c r="K140" s="230">
        <f t="shared" si="41"/>
        <v>17914</v>
      </c>
      <c r="L140" s="293">
        <f t="shared" si="41"/>
        <v>7.5000000000000009</v>
      </c>
      <c r="M140" s="230">
        <f t="shared" si="41"/>
        <v>28442</v>
      </c>
      <c r="N140" s="293">
        <f t="shared" si="41"/>
        <v>7.9</v>
      </c>
      <c r="O140" s="230">
        <f t="shared" si="41"/>
        <v>73886</v>
      </c>
      <c r="P140" s="293">
        <f t="shared" si="41"/>
        <v>20.5</v>
      </c>
      <c r="Q140" s="230">
        <f t="shared" si="41"/>
        <v>45619</v>
      </c>
      <c r="R140" s="293">
        <f t="shared" si="41"/>
        <v>19</v>
      </c>
      <c r="S140" s="230">
        <f t="shared" si="41"/>
        <v>26269</v>
      </c>
      <c r="T140" s="293">
        <f t="shared" si="41"/>
        <v>11</v>
      </c>
      <c r="U140" s="230">
        <f t="shared" si="41"/>
        <v>33178</v>
      </c>
      <c r="V140" s="293">
        <f t="shared" si="41"/>
        <v>10.3</v>
      </c>
      <c r="W140" s="230">
        <f t="shared" si="41"/>
        <v>46544</v>
      </c>
      <c r="X140" s="293">
        <f t="shared" si="41"/>
        <v>13</v>
      </c>
      <c r="Y140" s="230">
        <f t="shared" si="41"/>
        <v>14044</v>
      </c>
      <c r="Z140" s="293">
        <f t="shared" si="41"/>
        <v>5.8000000000000007</v>
      </c>
    </row>
    <row r="141" spans="1:26" x14ac:dyDescent="0.2">
      <c r="A141" s="699"/>
      <c r="B141" s="272" t="s">
        <v>375</v>
      </c>
      <c r="C141" s="230">
        <f>C$8-C130</f>
        <v>0</v>
      </c>
      <c r="D141" s="293">
        <f t="shared" ref="D141:Z141" si="42">D$8-D130</f>
        <v>0</v>
      </c>
      <c r="E141" s="230">
        <f t="shared" si="42"/>
        <v>0</v>
      </c>
      <c r="F141" s="293">
        <f t="shared" si="42"/>
        <v>0</v>
      </c>
      <c r="G141" s="230">
        <f t="shared" si="42"/>
        <v>0</v>
      </c>
      <c r="H141" s="293">
        <f t="shared" si="42"/>
        <v>0</v>
      </c>
      <c r="I141" s="230">
        <f t="shared" si="42"/>
        <v>0</v>
      </c>
      <c r="J141" s="293">
        <f t="shared" si="42"/>
        <v>0</v>
      </c>
      <c r="K141" s="230">
        <f t="shared" si="42"/>
        <v>0</v>
      </c>
      <c r="L141" s="293">
        <f t="shared" si="42"/>
        <v>0</v>
      </c>
      <c r="M141" s="230">
        <f t="shared" si="42"/>
        <v>0</v>
      </c>
      <c r="N141" s="293">
        <f t="shared" si="42"/>
        <v>0</v>
      </c>
      <c r="O141" s="230">
        <f t="shared" si="42"/>
        <v>0</v>
      </c>
      <c r="P141" s="293">
        <f t="shared" si="42"/>
        <v>0</v>
      </c>
      <c r="Q141" s="230">
        <f t="shared" si="42"/>
        <v>0</v>
      </c>
      <c r="R141" s="293">
        <f t="shared" si="42"/>
        <v>0</v>
      </c>
      <c r="S141" s="230">
        <f t="shared" si="42"/>
        <v>0</v>
      </c>
      <c r="T141" s="293">
        <f t="shared" si="42"/>
        <v>0</v>
      </c>
      <c r="U141" s="230">
        <f t="shared" si="42"/>
        <v>0</v>
      </c>
      <c r="V141" s="293">
        <f t="shared" si="42"/>
        <v>0</v>
      </c>
      <c r="W141" s="230">
        <f t="shared" si="42"/>
        <v>0</v>
      </c>
      <c r="X141" s="293">
        <f t="shared" si="42"/>
        <v>0</v>
      </c>
      <c r="Y141" s="230">
        <f t="shared" si="42"/>
        <v>0</v>
      </c>
      <c r="Z141" s="293">
        <f t="shared" si="42"/>
        <v>0</v>
      </c>
    </row>
    <row r="142" spans="1:26" x14ac:dyDescent="0.2">
      <c r="A142" s="699"/>
      <c r="B142" s="272" t="s">
        <v>376</v>
      </c>
      <c r="C142" s="230">
        <f t="shared" ref="C142:Z142" si="43">C$9-C131</f>
        <v>234</v>
      </c>
      <c r="D142" s="293">
        <f t="shared" si="43"/>
        <v>1.3999999999999995</v>
      </c>
      <c r="E142" s="230">
        <f t="shared" si="43"/>
        <v>1645</v>
      </c>
      <c r="F142" s="293">
        <f t="shared" si="43"/>
        <v>1.7999999999999998</v>
      </c>
      <c r="G142" s="230">
        <f t="shared" si="43"/>
        <v>0</v>
      </c>
      <c r="H142" s="293">
        <f t="shared" si="43"/>
        <v>0</v>
      </c>
      <c r="I142" s="230">
        <f t="shared" si="43"/>
        <v>0</v>
      </c>
      <c r="J142" s="293">
        <f t="shared" si="43"/>
        <v>0</v>
      </c>
      <c r="K142" s="230">
        <f t="shared" si="43"/>
        <v>0</v>
      </c>
      <c r="L142" s="293">
        <f t="shared" si="43"/>
        <v>0</v>
      </c>
      <c r="M142" s="230">
        <f t="shared" si="43"/>
        <v>0</v>
      </c>
      <c r="N142" s="293">
        <f t="shared" si="43"/>
        <v>0</v>
      </c>
      <c r="O142" s="230">
        <f t="shared" si="43"/>
        <v>0</v>
      </c>
      <c r="P142" s="293">
        <f t="shared" si="43"/>
        <v>0</v>
      </c>
      <c r="Q142" s="230">
        <f t="shared" si="43"/>
        <v>0</v>
      </c>
      <c r="R142" s="293">
        <f t="shared" si="43"/>
        <v>0</v>
      </c>
      <c r="S142" s="230">
        <f t="shared" si="43"/>
        <v>0</v>
      </c>
      <c r="T142" s="293">
        <f t="shared" si="43"/>
        <v>0</v>
      </c>
      <c r="U142" s="230">
        <f t="shared" si="43"/>
        <v>0</v>
      </c>
      <c r="V142" s="293">
        <f t="shared" si="43"/>
        <v>0</v>
      </c>
      <c r="W142" s="230">
        <f t="shared" si="43"/>
        <v>0</v>
      </c>
      <c r="X142" s="293">
        <f t="shared" si="43"/>
        <v>0</v>
      </c>
      <c r="Y142" s="230">
        <f t="shared" si="43"/>
        <v>0</v>
      </c>
      <c r="Z142" s="293">
        <f t="shared" si="43"/>
        <v>0</v>
      </c>
    </row>
    <row r="143" spans="1:26" x14ac:dyDescent="0.2">
      <c r="A143" s="699"/>
      <c r="B143" s="272" t="s">
        <v>377</v>
      </c>
      <c r="C143" s="230">
        <f t="shared" ref="C143:Z143" si="44">C$10-C132</f>
        <v>10</v>
      </c>
      <c r="D143" s="293">
        <f t="shared" si="44"/>
        <v>0</v>
      </c>
      <c r="E143" s="230">
        <f t="shared" si="44"/>
        <v>129</v>
      </c>
      <c r="F143" s="293">
        <f t="shared" si="44"/>
        <v>0.19999999999999996</v>
      </c>
      <c r="G143" s="230">
        <f t="shared" si="44"/>
        <v>30</v>
      </c>
      <c r="H143" s="293">
        <f t="shared" si="44"/>
        <v>0.10000000000000009</v>
      </c>
      <c r="I143" s="230">
        <f t="shared" si="44"/>
        <v>312</v>
      </c>
      <c r="J143" s="293">
        <f t="shared" si="44"/>
        <v>0.10000000000000009</v>
      </c>
      <c r="K143" s="230">
        <f t="shared" si="44"/>
        <v>324</v>
      </c>
      <c r="L143" s="293">
        <f t="shared" si="44"/>
        <v>0.20000000000000007</v>
      </c>
      <c r="M143" s="230">
        <f t="shared" si="44"/>
        <v>405</v>
      </c>
      <c r="N143" s="293">
        <f t="shared" si="44"/>
        <v>0.10000000000000009</v>
      </c>
      <c r="O143" s="230">
        <f t="shared" si="44"/>
        <v>500</v>
      </c>
      <c r="P143" s="293">
        <f t="shared" si="44"/>
        <v>0.10000000000000009</v>
      </c>
      <c r="Q143" s="230">
        <f t="shared" si="44"/>
        <v>283</v>
      </c>
      <c r="R143" s="293">
        <f t="shared" si="44"/>
        <v>0.10000000000000009</v>
      </c>
      <c r="S143" s="230">
        <f t="shared" si="44"/>
        <v>208</v>
      </c>
      <c r="T143" s="293">
        <f t="shared" si="44"/>
        <v>0.10000000000000009</v>
      </c>
      <c r="U143" s="230">
        <f t="shared" si="44"/>
        <v>299</v>
      </c>
      <c r="V143" s="293">
        <f t="shared" si="44"/>
        <v>9.9999999999999978E-2</v>
      </c>
      <c r="W143" s="230">
        <f t="shared" si="44"/>
        <v>613</v>
      </c>
      <c r="X143" s="293">
        <f t="shared" si="44"/>
        <v>0.19999999999999973</v>
      </c>
      <c r="Y143" s="230">
        <f t="shared" si="44"/>
        <v>244</v>
      </c>
      <c r="Z143" s="293">
        <f t="shared" si="44"/>
        <v>0.10000000000000009</v>
      </c>
    </row>
    <row r="144" spans="1:26" x14ac:dyDescent="0.2">
      <c r="A144" s="699"/>
      <c r="B144" s="272" t="s">
        <v>378</v>
      </c>
      <c r="C144" s="230">
        <f t="shared" ref="C144:Z144" si="45">C$11-C133</f>
        <v>0</v>
      </c>
      <c r="D144" s="293">
        <f t="shared" si="45"/>
        <v>0</v>
      </c>
      <c r="E144" s="230">
        <f t="shared" si="45"/>
        <v>0</v>
      </c>
      <c r="F144" s="293">
        <f t="shared" si="45"/>
        <v>0</v>
      </c>
      <c r="G144" s="230">
        <f t="shared" si="45"/>
        <v>0</v>
      </c>
      <c r="H144" s="293">
        <f t="shared" si="45"/>
        <v>0</v>
      </c>
      <c r="I144" s="230">
        <f t="shared" si="45"/>
        <v>0</v>
      </c>
      <c r="J144" s="293">
        <f t="shared" si="45"/>
        <v>0</v>
      </c>
      <c r="K144" s="230">
        <f t="shared" si="45"/>
        <v>0</v>
      </c>
      <c r="L144" s="293">
        <f t="shared" si="45"/>
        <v>0</v>
      </c>
      <c r="M144" s="230">
        <f t="shared" si="45"/>
        <v>0</v>
      </c>
      <c r="N144" s="293">
        <f t="shared" si="45"/>
        <v>0</v>
      </c>
      <c r="O144" s="230">
        <f t="shared" si="45"/>
        <v>0</v>
      </c>
      <c r="P144" s="293">
        <f t="shared" si="45"/>
        <v>0</v>
      </c>
      <c r="Q144" s="230">
        <f t="shared" si="45"/>
        <v>0</v>
      </c>
      <c r="R144" s="293">
        <f t="shared" si="45"/>
        <v>0</v>
      </c>
      <c r="S144" s="230">
        <f t="shared" si="45"/>
        <v>0</v>
      </c>
      <c r="T144" s="293">
        <f t="shared" si="45"/>
        <v>0</v>
      </c>
      <c r="U144" s="230">
        <f t="shared" si="45"/>
        <v>0</v>
      </c>
      <c r="V144" s="293">
        <f t="shared" si="45"/>
        <v>0</v>
      </c>
      <c r="W144" s="230">
        <f t="shared" si="45"/>
        <v>0</v>
      </c>
      <c r="X144" s="293">
        <f t="shared" si="45"/>
        <v>0</v>
      </c>
      <c r="Y144" s="230">
        <f t="shared" si="45"/>
        <v>0</v>
      </c>
      <c r="Z144" s="293">
        <f t="shared" si="45"/>
        <v>0</v>
      </c>
    </row>
    <row r="145" spans="1:26" x14ac:dyDescent="0.2">
      <c r="A145" s="699"/>
      <c r="B145" s="272" t="s">
        <v>379</v>
      </c>
      <c r="C145" s="230">
        <f t="shared" ref="C145:Z145" si="46">C$12-C134</f>
        <v>0</v>
      </c>
      <c r="D145" s="293">
        <f t="shared" si="46"/>
        <v>0</v>
      </c>
      <c r="E145" s="230">
        <f t="shared" si="46"/>
        <v>0</v>
      </c>
      <c r="F145" s="293">
        <f t="shared" si="46"/>
        <v>0</v>
      </c>
      <c r="G145" s="230">
        <f t="shared" si="46"/>
        <v>0</v>
      </c>
      <c r="H145" s="293">
        <f t="shared" si="46"/>
        <v>0</v>
      </c>
      <c r="I145" s="230">
        <f t="shared" si="46"/>
        <v>0</v>
      </c>
      <c r="J145" s="293">
        <f t="shared" si="46"/>
        <v>0</v>
      </c>
      <c r="K145" s="230">
        <f t="shared" si="46"/>
        <v>0</v>
      </c>
      <c r="L145" s="293">
        <f t="shared" si="46"/>
        <v>0</v>
      </c>
      <c r="M145" s="230">
        <f t="shared" si="46"/>
        <v>0</v>
      </c>
      <c r="N145" s="293">
        <f t="shared" si="46"/>
        <v>0</v>
      </c>
      <c r="O145" s="230">
        <f t="shared" si="46"/>
        <v>0</v>
      </c>
      <c r="P145" s="293">
        <f t="shared" si="46"/>
        <v>0</v>
      </c>
      <c r="Q145" s="230">
        <f t="shared" si="46"/>
        <v>0</v>
      </c>
      <c r="R145" s="293">
        <f t="shared" si="46"/>
        <v>0</v>
      </c>
      <c r="S145" s="230">
        <f t="shared" si="46"/>
        <v>0</v>
      </c>
      <c r="T145" s="293">
        <f t="shared" si="46"/>
        <v>0</v>
      </c>
      <c r="U145" s="230">
        <f t="shared" si="46"/>
        <v>0</v>
      </c>
      <c r="V145" s="293">
        <f t="shared" si="46"/>
        <v>0</v>
      </c>
      <c r="W145" s="230">
        <f t="shared" si="46"/>
        <v>0</v>
      </c>
      <c r="X145" s="293">
        <f t="shared" si="46"/>
        <v>0</v>
      </c>
      <c r="Y145" s="230">
        <f t="shared" si="46"/>
        <v>0</v>
      </c>
      <c r="Z145" s="293">
        <f t="shared" si="46"/>
        <v>0</v>
      </c>
    </row>
    <row r="146" spans="1:26" x14ac:dyDescent="0.2">
      <c r="A146" s="699"/>
      <c r="B146" s="272" t="s">
        <v>380</v>
      </c>
      <c r="C146" s="230">
        <f t="shared" ref="C146:Z146" si="47">C$13-C135</f>
        <v>0</v>
      </c>
      <c r="D146" s="293">
        <f t="shared" si="47"/>
        <v>0</v>
      </c>
      <c r="E146" s="230">
        <f t="shared" si="47"/>
        <v>0</v>
      </c>
      <c r="F146" s="293">
        <f t="shared" si="47"/>
        <v>0</v>
      </c>
      <c r="G146" s="230">
        <f t="shared" si="47"/>
        <v>0</v>
      </c>
      <c r="H146" s="293">
        <f t="shared" si="47"/>
        <v>0</v>
      </c>
      <c r="I146" s="230">
        <f t="shared" si="47"/>
        <v>0</v>
      </c>
      <c r="J146" s="293">
        <f t="shared" si="47"/>
        <v>0</v>
      </c>
      <c r="K146" s="230">
        <f t="shared" si="47"/>
        <v>0</v>
      </c>
      <c r="L146" s="293">
        <f t="shared" si="47"/>
        <v>0</v>
      </c>
      <c r="M146" s="230">
        <f t="shared" si="47"/>
        <v>0</v>
      </c>
      <c r="N146" s="293">
        <f t="shared" si="47"/>
        <v>0</v>
      </c>
      <c r="O146" s="230">
        <f t="shared" si="47"/>
        <v>0</v>
      </c>
      <c r="P146" s="293">
        <f t="shared" si="47"/>
        <v>0</v>
      </c>
      <c r="Q146" s="230">
        <f t="shared" si="47"/>
        <v>0</v>
      </c>
      <c r="R146" s="293">
        <f t="shared" si="47"/>
        <v>0</v>
      </c>
      <c r="S146" s="230">
        <f t="shared" si="47"/>
        <v>0</v>
      </c>
      <c r="T146" s="293">
        <f t="shared" si="47"/>
        <v>0</v>
      </c>
      <c r="U146" s="230">
        <f t="shared" si="47"/>
        <v>0</v>
      </c>
      <c r="V146" s="293">
        <f t="shared" si="47"/>
        <v>0</v>
      </c>
      <c r="W146" s="230">
        <f t="shared" si="47"/>
        <v>0</v>
      </c>
      <c r="X146" s="293">
        <f t="shared" si="47"/>
        <v>0</v>
      </c>
      <c r="Y146" s="230">
        <f t="shared" si="47"/>
        <v>0</v>
      </c>
      <c r="Z146" s="293">
        <f t="shared" si="47"/>
        <v>0</v>
      </c>
    </row>
    <row r="147" spans="1:26" x14ac:dyDescent="0.2">
      <c r="A147" s="699"/>
      <c r="B147" s="272" t="s">
        <v>381</v>
      </c>
      <c r="C147" s="230">
        <f t="shared" ref="C147:Z147" si="48">C$14-C136</f>
        <v>0</v>
      </c>
      <c r="D147" s="293">
        <f t="shared" si="48"/>
        <v>0</v>
      </c>
      <c r="E147" s="230">
        <f t="shared" si="48"/>
        <v>0</v>
      </c>
      <c r="F147" s="293">
        <f t="shared" si="48"/>
        <v>0</v>
      </c>
      <c r="G147" s="230">
        <f t="shared" si="48"/>
        <v>0</v>
      </c>
      <c r="H147" s="293">
        <f t="shared" si="48"/>
        <v>0</v>
      </c>
      <c r="I147" s="230">
        <f t="shared" si="48"/>
        <v>0</v>
      </c>
      <c r="J147" s="293">
        <f t="shared" si="48"/>
        <v>0</v>
      </c>
      <c r="K147" s="230">
        <f t="shared" si="48"/>
        <v>0</v>
      </c>
      <c r="L147" s="293">
        <f t="shared" si="48"/>
        <v>0</v>
      </c>
      <c r="M147" s="230">
        <f t="shared" si="48"/>
        <v>0</v>
      </c>
      <c r="N147" s="293">
        <f t="shared" si="48"/>
        <v>0</v>
      </c>
      <c r="O147" s="230">
        <f t="shared" si="48"/>
        <v>0</v>
      </c>
      <c r="P147" s="293">
        <f t="shared" si="48"/>
        <v>0</v>
      </c>
      <c r="Q147" s="230">
        <f t="shared" si="48"/>
        <v>0</v>
      </c>
      <c r="R147" s="293">
        <f t="shared" si="48"/>
        <v>0</v>
      </c>
      <c r="S147" s="230">
        <f t="shared" si="48"/>
        <v>0</v>
      </c>
      <c r="T147" s="293">
        <f t="shared" si="48"/>
        <v>0</v>
      </c>
      <c r="U147" s="230">
        <f t="shared" si="48"/>
        <v>0</v>
      </c>
      <c r="V147" s="293">
        <f t="shared" si="48"/>
        <v>0</v>
      </c>
      <c r="W147" s="230">
        <f t="shared" si="48"/>
        <v>0</v>
      </c>
      <c r="X147" s="293">
        <f t="shared" si="48"/>
        <v>0</v>
      </c>
      <c r="Y147" s="230">
        <f t="shared" si="48"/>
        <v>0</v>
      </c>
      <c r="Z147" s="293">
        <f t="shared" si="48"/>
        <v>0</v>
      </c>
    </row>
    <row r="148" spans="1:26" s="20" customFormat="1" x14ac:dyDescent="0.2">
      <c r="A148" s="700"/>
      <c r="B148" s="274" t="s">
        <v>382</v>
      </c>
      <c r="C148" s="275">
        <f t="shared" ref="C148:Z148" si="49">C$15-C137</f>
        <v>2906</v>
      </c>
      <c r="D148" s="294">
        <f t="shared" si="49"/>
        <v>18.099999999999994</v>
      </c>
      <c r="E148" s="275">
        <f t="shared" si="49"/>
        <v>33525</v>
      </c>
      <c r="F148" s="294">
        <f t="shared" si="49"/>
        <v>37.300000000000011</v>
      </c>
      <c r="G148" s="275">
        <f t="shared" si="49"/>
        <v>1813</v>
      </c>
      <c r="H148" s="294">
        <f t="shared" si="49"/>
        <v>6</v>
      </c>
      <c r="I148" s="275">
        <f t="shared" si="49"/>
        <v>22100</v>
      </c>
      <c r="J148" s="294">
        <f t="shared" si="49"/>
        <v>6.0999999999999943</v>
      </c>
      <c r="K148" s="275">
        <f t="shared" si="49"/>
        <v>18239</v>
      </c>
      <c r="L148" s="294">
        <f t="shared" si="49"/>
        <v>7.5999999999999943</v>
      </c>
      <c r="M148" s="275">
        <f t="shared" si="49"/>
        <v>28847</v>
      </c>
      <c r="N148" s="294">
        <f t="shared" si="49"/>
        <v>8</v>
      </c>
      <c r="O148" s="275">
        <f t="shared" si="49"/>
        <v>74384</v>
      </c>
      <c r="P148" s="294">
        <f t="shared" si="49"/>
        <v>20.699999999999989</v>
      </c>
      <c r="Q148" s="275">
        <f t="shared" si="49"/>
        <v>45903</v>
      </c>
      <c r="R148" s="294">
        <f t="shared" si="49"/>
        <v>19.199999999999989</v>
      </c>
      <c r="S148" s="275">
        <f t="shared" si="49"/>
        <v>26477</v>
      </c>
      <c r="T148" s="294">
        <f t="shared" si="49"/>
        <v>11</v>
      </c>
      <c r="U148" s="275">
        <f t="shared" si="49"/>
        <v>33478</v>
      </c>
      <c r="V148" s="294">
        <f t="shared" si="49"/>
        <v>10.5</v>
      </c>
      <c r="W148" s="275">
        <f t="shared" si="49"/>
        <v>47157</v>
      </c>
      <c r="X148" s="294">
        <f t="shared" si="49"/>
        <v>13.099999999999994</v>
      </c>
      <c r="Y148" s="275">
        <f t="shared" si="49"/>
        <v>14288</v>
      </c>
      <c r="Z148" s="294">
        <f t="shared" si="49"/>
        <v>6</v>
      </c>
    </row>
    <row r="149" spans="1:26" s="20" customFormat="1" x14ac:dyDescent="0.2">
      <c r="A149" s="266"/>
      <c r="B149" s="227"/>
      <c r="C149" s="267"/>
      <c r="D149" s="232"/>
      <c r="E149" s="268"/>
      <c r="F149" s="237"/>
      <c r="G149" s="267"/>
      <c r="H149" s="232"/>
      <c r="I149" s="267"/>
      <c r="J149" s="232"/>
      <c r="K149" s="267"/>
      <c r="L149" s="232"/>
      <c r="M149" s="267"/>
      <c r="N149" s="232"/>
      <c r="O149" s="267"/>
      <c r="P149" s="232"/>
      <c r="Q149" s="267"/>
      <c r="R149" s="232"/>
      <c r="S149" s="267"/>
      <c r="T149" s="232"/>
      <c r="U149" s="267"/>
      <c r="V149" s="232"/>
      <c r="W149" s="267"/>
      <c r="X149" s="232"/>
      <c r="Y149" s="267"/>
      <c r="Z149" s="232"/>
    </row>
    <row r="150" spans="1:26" s="202" customFormat="1" ht="13.15" customHeight="1" x14ac:dyDescent="0.2">
      <c r="A150" s="698" t="s">
        <v>515</v>
      </c>
      <c r="B150" s="269" t="s">
        <v>488</v>
      </c>
      <c r="C150" s="368"/>
      <c r="D150" s="369"/>
      <c r="E150" s="368"/>
      <c r="F150" s="369"/>
      <c r="G150" s="304" t="s">
        <v>486</v>
      </c>
      <c r="H150" s="280" t="s">
        <v>487</v>
      </c>
      <c r="I150" s="304" t="s">
        <v>486</v>
      </c>
      <c r="J150" s="280" t="s">
        <v>487</v>
      </c>
      <c r="K150" s="304" t="s">
        <v>486</v>
      </c>
      <c r="L150" s="280" t="s">
        <v>487</v>
      </c>
      <c r="M150" s="304" t="s">
        <v>486</v>
      </c>
      <c r="N150" s="280" t="s">
        <v>487</v>
      </c>
      <c r="O150" s="304" t="s">
        <v>486</v>
      </c>
      <c r="P150" s="280" t="s">
        <v>487</v>
      </c>
      <c r="Q150" s="304" t="s">
        <v>486</v>
      </c>
      <c r="R150" s="280" t="s">
        <v>487</v>
      </c>
      <c r="S150" s="304" t="s">
        <v>486</v>
      </c>
      <c r="T150" s="280" t="s">
        <v>487</v>
      </c>
      <c r="U150" s="304" t="s">
        <v>486</v>
      </c>
      <c r="V150" s="280" t="s">
        <v>487</v>
      </c>
      <c r="W150" s="304" t="s">
        <v>486</v>
      </c>
      <c r="X150" s="280" t="s">
        <v>487</v>
      </c>
      <c r="Y150" s="304" t="s">
        <v>486</v>
      </c>
      <c r="Z150" s="314" t="s">
        <v>487</v>
      </c>
    </row>
    <row r="151" spans="1:26" x14ac:dyDescent="0.2">
      <c r="A151" s="699"/>
      <c r="B151" s="316" t="s">
        <v>283</v>
      </c>
      <c r="C151" s="372"/>
      <c r="D151" s="424"/>
      <c r="E151" s="372"/>
      <c r="F151" s="424"/>
      <c r="G151" s="317">
        <f>'6 Oversikt startpunkt'!D17</f>
        <v>3</v>
      </c>
      <c r="H151" s="318">
        <f>(G151+'7 Passivhusnivå'!F36)*0.5</f>
        <v>2.25</v>
      </c>
      <c r="I151" s="317">
        <f>'6 Oversikt startpunkt'!E17</f>
        <v>3</v>
      </c>
      <c r="J151" s="318">
        <f>(I151+'7 Passivhusnivå'!G36)*0.5</f>
        <v>2.25</v>
      </c>
      <c r="K151" s="317">
        <f>'6 Oversikt startpunkt'!F17</f>
        <v>3</v>
      </c>
      <c r="L151" s="320">
        <f>(K151+'7 Passivhusnivå'!H36)*0.5</f>
        <v>2.25</v>
      </c>
      <c r="M151" s="318">
        <f>'6 Oversikt startpunkt'!G17</f>
        <v>3</v>
      </c>
      <c r="N151" s="318">
        <f>(M151+'7 Passivhusnivå'!I36)*0.5</f>
        <v>2.25</v>
      </c>
      <c r="O151" s="317">
        <f>'6 Oversikt startpunkt'!H17</f>
        <v>3</v>
      </c>
      <c r="P151" s="320">
        <f>(O151+'7 Passivhusnivå'!J36)*0.5</f>
        <v>2.25</v>
      </c>
      <c r="Q151" s="318">
        <f>'6 Oversikt startpunkt'!I17</f>
        <v>3</v>
      </c>
      <c r="R151" s="318">
        <f>(Q151+'7 Passivhusnivå'!K36)*0.5</f>
        <v>2.25</v>
      </c>
      <c r="S151" s="317">
        <f>'6 Oversikt startpunkt'!J17</f>
        <v>3</v>
      </c>
      <c r="T151" s="318">
        <f>(S151+'7 Passivhusnivå'!L36)*0.5</f>
        <v>2.25</v>
      </c>
      <c r="U151" s="319">
        <f>'6 Oversikt startpunkt'!K17</f>
        <v>3</v>
      </c>
      <c r="V151" s="318">
        <f>(U151+'7 Passivhusnivå'!M36)*0.5</f>
        <v>2.25</v>
      </c>
      <c r="W151" s="317">
        <f>'6 Oversikt startpunkt'!L17</f>
        <v>3</v>
      </c>
      <c r="X151" s="318">
        <f>(W151+'7 Passivhusnivå'!N36)*0.5</f>
        <v>2.25</v>
      </c>
      <c r="Y151" s="317">
        <f>'6 Oversikt startpunkt'!M17</f>
        <v>3</v>
      </c>
      <c r="Z151" s="320">
        <f>(Y151+'7 Passivhusnivå'!O36)*0.5</f>
        <v>2.25</v>
      </c>
    </row>
    <row r="152" spans="1:26" s="216" customFormat="1" x14ac:dyDescent="0.2">
      <c r="A152" s="699"/>
      <c r="B152" s="288" t="s">
        <v>490</v>
      </c>
      <c r="C152" s="353"/>
      <c r="D152" s="374"/>
      <c r="E152" s="353"/>
      <c r="F152" s="354"/>
      <c r="G152" s="292" t="s">
        <v>372</v>
      </c>
      <c r="H152" s="290" t="s">
        <v>397</v>
      </c>
      <c r="I152" s="289" t="s">
        <v>372</v>
      </c>
      <c r="J152" s="291" t="s">
        <v>397</v>
      </c>
      <c r="K152" s="292" t="s">
        <v>372</v>
      </c>
      <c r="L152" s="290" t="s">
        <v>397</v>
      </c>
      <c r="M152" s="289" t="s">
        <v>372</v>
      </c>
      <c r="N152" s="290" t="s">
        <v>397</v>
      </c>
      <c r="O152" s="289" t="s">
        <v>372</v>
      </c>
      <c r="P152" s="290" t="s">
        <v>397</v>
      </c>
      <c r="Q152" s="289" t="s">
        <v>372</v>
      </c>
      <c r="R152" s="290" t="s">
        <v>397</v>
      </c>
      <c r="S152" s="289" t="s">
        <v>372</v>
      </c>
      <c r="T152" s="290" t="s">
        <v>397</v>
      </c>
      <c r="U152" s="289" t="s">
        <v>372</v>
      </c>
      <c r="V152" s="290" t="s">
        <v>397</v>
      </c>
      <c r="W152" s="289" t="s">
        <v>372</v>
      </c>
      <c r="X152" s="290" t="s">
        <v>397</v>
      </c>
      <c r="Y152" s="289" t="s">
        <v>372</v>
      </c>
      <c r="Z152" s="291" t="s">
        <v>397</v>
      </c>
    </row>
    <row r="153" spans="1:26" x14ac:dyDescent="0.2">
      <c r="A153" s="699"/>
      <c r="B153" s="272" t="s">
        <v>373</v>
      </c>
      <c r="C153" s="355"/>
      <c r="D153" s="375"/>
      <c r="E153" s="355"/>
      <c r="F153" s="376"/>
      <c r="G153" s="285">
        <v>31028</v>
      </c>
      <c r="H153" s="231">
        <v>103.4</v>
      </c>
      <c r="I153" s="230">
        <v>150886</v>
      </c>
      <c r="J153" s="273">
        <v>41.9</v>
      </c>
      <c r="K153" s="285">
        <v>151380</v>
      </c>
      <c r="L153" s="231">
        <v>63.1</v>
      </c>
      <c r="M153" s="230">
        <v>167785</v>
      </c>
      <c r="N153" s="231">
        <v>46.6</v>
      </c>
      <c r="O153" s="230">
        <v>291374</v>
      </c>
      <c r="P153" s="231">
        <v>80.900000000000006</v>
      </c>
      <c r="Q153" s="230">
        <v>179741</v>
      </c>
      <c r="R153" s="231">
        <v>74.900000000000006</v>
      </c>
      <c r="S153" s="230">
        <v>216799</v>
      </c>
      <c r="T153" s="231">
        <v>90.3</v>
      </c>
      <c r="U153" s="230">
        <v>298677</v>
      </c>
      <c r="V153" s="231">
        <v>93.3</v>
      </c>
      <c r="W153" s="230">
        <v>217264</v>
      </c>
      <c r="X153" s="231">
        <v>60.4</v>
      </c>
      <c r="Y153" s="230">
        <v>221407</v>
      </c>
      <c r="Z153" s="273">
        <v>92.3</v>
      </c>
    </row>
    <row r="154" spans="1:26" x14ac:dyDescent="0.2">
      <c r="A154" s="699"/>
      <c r="B154" s="272" t="s">
        <v>374</v>
      </c>
      <c r="C154" s="355"/>
      <c r="D154" s="375"/>
      <c r="E154" s="355"/>
      <c r="F154" s="376"/>
      <c r="G154" s="285">
        <v>2347</v>
      </c>
      <c r="H154" s="231">
        <v>7.8</v>
      </c>
      <c r="I154" s="230">
        <v>28469</v>
      </c>
      <c r="J154" s="273">
        <v>7.9</v>
      </c>
      <c r="K154" s="285">
        <v>23663</v>
      </c>
      <c r="L154" s="231">
        <v>9.9</v>
      </c>
      <c r="M154" s="230">
        <v>37186</v>
      </c>
      <c r="N154" s="231">
        <v>10.3</v>
      </c>
      <c r="O154" s="230">
        <v>104302</v>
      </c>
      <c r="P154" s="231">
        <v>29</v>
      </c>
      <c r="Q154" s="230">
        <v>65373</v>
      </c>
      <c r="R154" s="231">
        <v>27.2</v>
      </c>
      <c r="S154" s="230">
        <v>34497</v>
      </c>
      <c r="T154" s="231">
        <v>14.4</v>
      </c>
      <c r="U154" s="230">
        <v>60110</v>
      </c>
      <c r="V154" s="231">
        <v>18.8</v>
      </c>
      <c r="W154" s="230">
        <v>61363</v>
      </c>
      <c r="X154" s="231">
        <v>17</v>
      </c>
      <c r="Y154" s="230">
        <v>18501</v>
      </c>
      <c r="Z154" s="273">
        <v>7.7</v>
      </c>
    </row>
    <row r="155" spans="1:26" x14ac:dyDescent="0.2">
      <c r="A155" s="699"/>
      <c r="B155" s="272" t="s">
        <v>375</v>
      </c>
      <c r="C155" s="355"/>
      <c r="D155" s="375"/>
      <c r="E155" s="355"/>
      <c r="F155" s="376"/>
      <c r="G155" s="285">
        <v>3007</v>
      </c>
      <c r="H155" s="231">
        <v>10</v>
      </c>
      <c r="I155" s="230">
        <v>18040</v>
      </c>
      <c r="J155" s="273">
        <v>5</v>
      </c>
      <c r="K155" s="285">
        <v>23530</v>
      </c>
      <c r="L155" s="231">
        <v>9.8000000000000007</v>
      </c>
      <c r="M155" s="230">
        <v>18040</v>
      </c>
      <c r="N155" s="231">
        <v>5</v>
      </c>
      <c r="O155" s="230">
        <v>107170</v>
      </c>
      <c r="P155" s="231">
        <v>29.8</v>
      </c>
      <c r="Q155" s="230">
        <v>71482</v>
      </c>
      <c r="R155" s="231">
        <v>29.8</v>
      </c>
      <c r="S155" s="230">
        <v>71482</v>
      </c>
      <c r="T155" s="231">
        <v>29.8</v>
      </c>
      <c r="U155" s="230">
        <v>156864</v>
      </c>
      <c r="V155" s="231">
        <v>49</v>
      </c>
      <c r="W155" s="230">
        <v>36408</v>
      </c>
      <c r="X155" s="231">
        <v>10.1</v>
      </c>
      <c r="Y155" s="230">
        <v>24054</v>
      </c>
      <c r="Z155" s="273">
        <v>10</v>
      </c>
    </row>
    <row r="156" spans="1:26" x14ac:dyDescent="0.2">
      <c r="A156" s="699"/>
      <c r="B156" s="272" t="s">
        <v>376</v>
      </c>
      <c r="C156" s="355"/>
      <c r="D156" s="375"/>
      <c r="E156" s="355"/>
      <c r="F156" s="376"/>
      <c r="G156" s="285">
        <v>6003</v>
      </c>
      <c r="H156" s="231">
        <v>20</v>
      </c>
      <c r="I156" s="230">
        <v>72049</v>
      </c>
      <c r="J156" s="273">
        <v>20</v>
      </c>
      <c r="K156" s="285">
        <v>52744</v>
      </c>
      <c r="L156" s="231">
        <v>22</v>
      </c>
      <c r="M156" s="230">
        <v>93643</v>
      </c>
      <c r="N156" s="231">
        <v>26</v>
      </c>
      <c r="O156" s="230">
        <v>224388</v>
      </c>
      <c r="P156" s="231">
        <v>62.3</v>
      </c>
      <c r="Q156" s="230">
        <v>131554</v>
      </c>
      <c r="R156" s="231">
        <v>54.8</v>
      </c>
      <c r="S156" s="230">
        <v>89530</v>
      </c>
      <c r="T156" s="231">
        <v>37.299999999999997</v>
      </c>
      <c r="U156" s="230">
        <v>63291</v>
      </c>
      <c r="V156" s="231">
        <v>19.8</v>
      </c>
      <c r="W156" s="230">
        <v>172261</v>
      </c>
      <c r="X156" s="231">
        <v>47.9</v>
      </c>
      <c r="Y156" s="230">
        <v>52826</v>
      </c>
      <c r="Z156" s="273">
        <v>22</v>
      </c>
    </row>
    <row r="157" spans="1:26" x14ac:dyDescent="0.2">
      <c r="A157" s="699"/>
      <c r="B157" s="272" t="s">
        <v>377</v>
      </c>
      <c r="C157" s="355"/>
      <c r="D157" s="375"/>
      <c r="E157" s="355"/>
      <c r="F157" s="376"/>
      <c r="G157" s="285">
        <v>324</v>
      </c>
      <c r="H157" s="231">
        <v>1.1000000000000001</v>
      </c>
      <c r="I157" s="230">
        <v>7467</v>
      </c>
      <c r="J157" s="273">
        <v>2.1</v>
      </c>
      <c r="K157" s="285">
        <v>2151</v>
      </c>
      <c r="L157" s="231">
        <v>0.9</v>
      </c>
      <c r="M157" s="230">
        <v>8708</v>
      </c>
      <c r="N157" s="231">
        <v>2.4</v>
      </c>
      <c r="O157" s="230">
        <v>10521</v>
      </c>
      <c r="P157" s="231">
        <v>2.9</v>
      </c>
      <c r="Q157" s="230">
        <v>1907</v>
      </c>
      <c r="R157" s="231">
        <v>0.8</v>
      </c>
      <c r="S157" s="230">
        <v>5275</v>
      </c>
      <c r="T157" s="231">
        <v>2.2000000000000002</v>
      </c>
      <c r="U157" s="230">
        <v>3295</v>
      </c>
      <c r="V157" s="231">
        <v>1</v>
      </c>
      <c r="W157" s="230">
        <v>11998</v>
      </c>
      <c r="X157" s="231">
        <v>3.3</v>
      </c>
      <c r="Y157" s="230">
        <v>6308</v>
      </c>
      <c r="Z157" s="273">
        <v>2.6</v>
      </c>
    </row>
    <row r="158" spans="1:26" x14ac:dyDescent="0.2">
      <c r="A158" s="699"/>
      <c r="B158" s="272" t="s">
        <v>378</v>
      </c>
      <c r="C158" s="355"/>
      <c r="D158" s="375"/>
      <c r="E158" s="355"/>
      <c r="F158" s="376"/>
      <c r="G158" s="285">
        <v>7830</v>
      </c>
      <c r="H158" s="231">
        <v>26.1</v>
      </c>
      <c r="I158" s="230">
        <v>112752</v>
      </c>
      <c r="J158" s="273">
        <v>31.3</v>
      </c>
      <c r="K158" s="285">
        <v>64500</v>
      </c>
      <c r="L158" s="231">
        <v>26.9</v>
      </c>
      <c r="M158" s="230">
        <v>112752</v>
      </c>
      <c r="N158" s="231">
        <v>31.3</v>
      </c>
      <c r="O158" s="230">
        <v>210172</v>
      </c>
      <c r="P158" s="231">
        <v>58.4</v>
      </c>
      <c r="Q158" s="230">
        <v>140160</v>
      </c>
      <c r="R158" s="231">
        <v>58.4</v>
      </c>
      <c r="S158" s="230">
        <v>140160</v>
      </c>
      <c r="T158" s="231">
        <v>58.4</v>
      </c>
      <c r="U158" s="230">
        <v>82560</v>
      </c>
      <c r="V158" s="231">
        <v>25.8</v>
      </c>
      <c r="W158" s="230">
        <v>252746</v>
      </c>
      <c r="X158" s="231">
        <v>70.2</v>
      </c>
      <c r="Y158" s="230">
        <v>68904</v>
      </c>
      <c r="Z158" s="273">
        <v>28.7</v>
      </c>
    </row>
    <row r="159" spans="1:26" x14ac:dyDescent="0.2">
      <c r="A159" s="699"/>
      <c r="B159" s="272" t="s">
        <v>379</v>
      </c>
      <c r="C159" s="355"/>
      <c r="D159" s="375"/>
      <c r="E159" s="355"/>
      <c r="F159" s="376"/>
      <c r="G159" s="285">
        <v>1566</v>
      </c>
      <c r="H159" s="231">
        <v>5.2</v>
      </c>
      <c r="I159" s="230">
        <v>124050</v>
      </c>
      <c r="J159" s="273">
        <v>34.5</v>
      </c>
      <c r="K159" s="285">
        <v>30960</v>
      </c>
      <c r="L159" s="231">
        <v>12.9</v>
      </c>
      <c r="M159" s="230">
        <v>124050</v>
      </c>
      <c r="N159" s="231">
        <v>34.5</v>
      </c>
      <c r="O159" s="230">
        <v>168192</v>
      </c>
      <c r="P159" s="231">
        <v>46.7</v>
      </c>
      <c r="Q159" s="230">
        <v>56064</v>
      </c>
      <c r="R159" s="231">
        <v>23.4</v>
      </c>
      <c r="S159" s="230">
        <v>14016</v>
      </c>
      <c r="T159" s="231">
        <v>5.8</v>
      </c>
      <c r="U159" s="230">
        <v>8256</v>
      </c>
      <c r="V159" s="231">
        <v>2.6</v>
      </c>
      <c r="W159" s="230">
        <v>13478</v>
      </c>
      <c r="X159" s="231">
        <v>3.7</v>
      </c>
      <c r="Y159" s="230">
        <v>6890</v>
      </c>
      <c r="Z159" s="273">
        <v>2.9</v>
      </c>
    </row>
    <row r="160" spans="1:26" x14ac:dyDescent="0.2">
      <c r="A160" s="699"/>
      <c r="B160" s="272" t="s">
        <v>380</v>
      </c>
      <c r="C160" s="355"/>
      <c r="D160" s="375"/>
      <c r="E160" s="377"/>
      <c r="F160" s="376"/>
      <c r="G160" s="285">
        <v>0</v>
      </c>
      <c r="H160" s="231">
        <v>0</v>
      </c>
      <c r="I160" s="230">
        <v>0</v>
      </c>
      <c r="J160" s="273">
        <v>0</v>
      </c>
      <c r="K160" s="285">
        <v>0</v>
      </c>
      <c r="L160" s="231">
        <v>0</v>
      </c>
      <c r="M160" s="230">
        <v>0</v>
      </c>
      <c r="N160" s="231">
        <v>0</v>
      </c>
      <c r="O160" s="230">
        <v>0</v>
      </c>
      <c r="P160" s="231">
        <v>0</v>
      </c>
      <c r="Q160" s="230">
        <v>0</v>
      </c>
      <c r="R160" s="231">
        <v>0</v>
      </c>
      <c r="S160" s="230">
        <v>0</v>
      </c>
      <c r="T160" s="231">
        <v>0</v>
      </c>
      <c r="U160" s="230">
        <v>0</v>
      </c>
      <c r="V160" s="231">
        <v>0</v>
      </c>
      <c r="W160" s="230">
        <v>0</v>
      </c>
      <c r="X160" s="231">
        <v>0</v>
      </c>
      <c r="Y160" s="230">
        <v>0</v>
      </c>
      <c r="Z160" s="273">
        <v>0</v>
      </c>
    </row>
    <row r="161" spans="1:26" x14ac:dyDescent="0.2">
      <c r="A161" s="699"/>
      <c r="B161" s="272" t="s">
        <v>381</v>
      </c>
      <c r="C161" s="355"/>
      <c r="D161" s="375"/>
      <c r="E161" s="377"/>
      <c r="F161" s="376"/>
      <c r="G161" s="285">
        <v>0</v>
      </c>
      <c r="H161" s="231">
        <v>0</v>
      </c>
      <c r="I161" s="230">
        <v>18759</v>
      </c>
      <c r="J161" s="273">
        <v>5.2</v>
      </c>
      <c r="K161" s="285">
        <v>0</v>
      </c>
      <c r="L161" s="231">
        <v>0</v>
      </c>
      <c r="M161" s="230">
        <v>24174</v>
      </c>
      <c r="N161" s="231">
        <v>6.7</v>
      </c>
      <c r="O161" s="230">
        <v>47393</v>
      </c>
      <c r="P161" s="231">
        <v>13.2</v>
      </c>
      <c r="Q161" s="230">
        <v>0</v>
      </c>
      <c r="R161" s="231">
        <v>0</v>
      </c>
      <c r="S161" s="230">
        <v>20937</v>
      </c>
      <c r="T161" s="231">
        <v>8.6999999999999993</v>
      </c>
      <c r="U161" s="230">
        <v>0</v>
      </c>
      <c r="V161" s="231">
        <v>0</v>
      </c>
      <c r="W161" s="230">
        <v>49258</v>
      </c>
      <c r="X161" s="231">
        <v>13.7</v>
      </c>
      <c r="Y161" s="230">
        <v>16348</v>
      </c>
      <c r="Z161" s="273">
        <v>6.8</v>
      </c>
    </row>
    <row r="162" spans="1:26" s="20" customFormat="1" x14ac:dyDescent="0.2">
      <c r="A162" s="699"/>
      <c r="B162" s="274" t="s">
        <v>382</v>
      </c>
      <c r="C162" s="357"/>
      <c r="D162" s="378"/>
      <c r="E162" s="357"/>
      <c r="F162" s="379"/>
      <c r="G162" s="286">
        <v>52105</v>
      </c>
      <c r="H162" s="276">
        <v>173.7</v>
      </c>
      <c r="I162" s="275">
        <v>532472</v>
      </c>
      <c r="J162" s="279">
        <v>147.9</v>
      </c>
      <c r="K162" s="286">
        <v>348928</v>
      </c>
      <c r="L162" s="276">
        <v>145.4</v>
      </c>
      <c r="M162" s="275">
        <v>586338</v>
      </c>
      <c r="N162" s="276">
        <v>162.9</v>
      </c>
      <c r="O162" s="275">
        <v>1163513</v>
      </c>
      <c r="P162" s="276">
        <v>323.2</v>
      </c>
      <c r="Q162" s="275">
        <v>646280</v>
      </c>
      <c r="R162" s="276">
        <v>269.3</v>
      </c>
      <c r="S162" s="275">
        <v>592695</v>
      </c>
      <c r="T162" s="276">
        <v>247</v>
      </c>
      <c r="U162" s="275">
        <v>673053</v>
      </c>
      <c r="V162" s="276">
        <v>210.3</v>
      </c>
      <c r="W162" s="275">
        <v>814776</v>
      </c>
      <c r="X162" s="276">
        <v>226.3</v>
      </c>
      <c r="Y162" s="275">
        <v>415238</v>
      </c>
      <c r="Z162" s="279">
        <v>173</v>
      </c>
    </row>
    <row r="163" spans="1:26" s="216" customFormat="1" x14ac:dyDescent="0.2">
      <c r="A163" s="699"/>
      <c r="B163" s="283" t="s">
        <v>491</v>
      </c>
      <c r="C163" s="353"/>
      <c r="D163" s="354"/>
      <c r="E163" s="353"/>
      <c r="F163" s="354"/>
      <c r="G163" s="289" t="s">
        <v>372</v>
      </c>
      <c r="H163" s="291" t="s">
        <v>397</v>
      </c>
      <c r="I163" s="289" t="s">
        <v>372</v>
      </c>
      <c r="J163" s="291" t="s">
        <v>397</v>
      </c>
      <c r="K163" s="289" t="s">
        <v>372</v>
      </c>
      <c r="L163" s="291" t="s">
        <v>397</v>
      </c>
      <c r="M163" s="289" t="s">
        <v>372</v>
      </c>
      <c r="N163" s="291" t="s">
        <v>397</v>
      </c>
      <c r="O163" s="289" t="s">
        <v>372</v>
      </c>
      <c r="P163" s="291" t="s">
        <v>397</v>
      </c>
      <c r="Q163" s="289" t="s">
        <v>372</v>
      </c>
      <c r="R163" s="291" t="s">
        <v>397</v>
      </c>
      <c r="S163" s="289" t="s">
        <v>372</v>
      </c>
      <c r="T163" s="291" t="s">
        <v>397</v>
      </c>
      <c r="U163" s="289" t="s">
        <v>372</v>
      </c>
      <c r="V163" s="291" t="s">
        <v>397</v>
      </c>
      <c r="W163" s="289" t="s">
        <v>372</v>
      </c>
      <c r="X163" s="291" t="s">
        <v>397</v>
      </c>
      <c r="Y163" s="289" t="s">
        <v>372</v>
      </c>
      <c r="Z163" s="291" t="s">
        <v>397</v>
      </c>
    </row>
    <row r="164" spans="1:26" x14ac:dyDescent="0.2">
      <c r="A164" s="699"/>
      <c r="B164" s="272" t="s">
        <v>373</v>
      </c>
      <c r="C164" s="355"/>
      <c r="D164" s="356"/>
      <c r="E164" s="355"/>
      <c r="F164" s="356"/>
      <c r="G164" s="230">
        <f t="shared" ref="G164:Z164" si="50">G$6-G153</f>
        <v>-4</v>
      </c>
      <c r="H164" s="293">
        <f t="shared" si="50"/>
        <v>0</v>
      </c>
      <c r="I164" s="230">
        <f t="shared" si="50"/>
        <v>0</v>
      </c>
      <c r="J164" s="293">
        <f t="shared" si="50"/>
        <v>0</v>
      </c>
      <c r="K164" s="230">
        <f t="shared" si="50"/>
        <v>-12</v>
      </c>
      <c r="L164" s="293">
        <f t="shared" si="50"/>
        <v>0</v>
      </c>
      <c r="M164" s="230">
        <f t="shared" si="50"/>
        <v>-2</v>
      </c>
      <c r="N164" s="293">
        <f t="shared" si="50"/>
        <v>0</v>
      </c>
      <c r="O164" s="230">
        <f t="shared" si="50"/>
        <v>-1</v>
      </c>
      <c r="P164" s="293">
        <f t="shared" si="50"/>
        <v>0</v>
      </c>
      <c r="Q164" s="230">
        <f t="shared" si="50"/>
        <v>-92</v>
      </c>
      <c r="R164" s="293">
        <f t="shared" si="50"/>
        <v>0</v>
      </c>
      <c r="S164" s="230">
        <f t="shared" si="50"/>
        <v>0</v>
      </c>
      <c r="T164" s="293">
        <f t="shared" si="50"/>
        <v>0</v>
      </c>
      <c r="U164" s="230">
        <f t="shared" si="50"/>
        <v>-22</v>
      </c>
      <c r="V164" s="293">
        <f t="shared" si="50"/>
        <v>0</v>
      </c>
      <c r="W164" s="230">
        <f t="shared" si="50"/>
        <v>-6</v>
      </c>
      <c r="X164" s="293">
        <f t="shared" si="50"/>
        <v>-0.10000000000000142</v>
      </c>
      <c r="Y164" s="230">
        <f t="shared" si="50"/>
        <v>-1</v>
      </c>
      <c r="Z164" s="293">
        <f t="shared" si="50"/>
        <v>0</v>
      </c>
    </row>
    <row r="165" spans="1:26" x14ac:dyDescent="0.2">
      <c r="A165" s="699"/>
      <c r="B165" s="272" t="s">
        <v>374</v>
      </c>
      <c r="C165" s="355"/>
      <c r="D165" s="356"/>
      <c r="E165" s="355"/>
      <c r="F165" s="356"/>
      <c r="G165" s="230">
        <f t="shared" ref="G165:Z165" si="51">G$7-G154</f>
        <v>-364</v>
      </c>
      <c r="H165" s="293">
        <f t="shared" si="51"/>
        <v>-1.2000000000000002</v>
      </c>
      <c r="I165" s="230">
        <f t="shared" si="51"/>
        <v>-4247</v>
      </c>
      <c r="J165" s="293">
        <f t="shared" si="51"/>
        <v>-1.2000000000000002</v>
      </c>
      <c r="K165" s="230">
        <f t="shared" si="51"/>
        <v>-3737</v>
      </c>
      <c r="L165" s="293">
        <f t="shared" si="51"/>
        <v>-1.5999999999999996</v>
      </c>
      <c r="M165" s="230">
        <f t="shared" si="51"/>
        <v>-5573</v>
      </c>
      <c r="N165" s="293">
        <f t="shared" si="51"/>
        <v>-1.5</v>
      </c>
      <c r="O165" s="230">
        <f t="shared" si="51"/>
        <v>-14137</v>
      </c>
      <c r="P165" s="293">
        <f t="shared" si="51"/>
        <v>-4</v>
      </c>
      <c r="Q165" s="230">
        <f t="shared" si="51"/>
        <v>-8791</v>
      </c>
      <c r="R165" s="293">
        <f t="shared" si="51"/>
        <v>-3.5999999999999979</v>
      </c>
      <c r="S165" s="230">
        <f t="shared" si="51"/>
        <v>-5526</v>
      </c>
      <c r="T165" s="293">
        <f t="shared" si="51"/>
        <v>-2.3000000000000007</v>
      </c>
      <c r="U165" s="230">
        <f t="shared" si="51"/>
        <v>-6868</v>
      </c>
      <c r="V165" s="293">
        <f t="shared" si="51"/>
        <v>-2.1999999999999993</v>
      </c>
      <c r="W165" s="230">
        <f t="shared" si="51"/>
        <v>-10009</v>
      </c>
      <c r="X165" s="293">
        <f t="shared" si="51"/>
        <v>-2.6999999999999993</v>
      </c>
      <c r="Y165" s="230">
        <f t="shared" si="51"/>
        <v>-3032</v>
      </c>
      <c r="Z165" s="293">
        <f t="shared" si="51"/>
        <v>-1.2999999999999998</v>
      </c>
    </row>
    <row r="166" spans="1:26" x14ac:dyDescent="0.2">
      <c r="A166" s="699"/>
      <c r="B166" s="272" t="s">
        <v>375</v>
      </c>
      <c r="C166" s="355"/>
      <c r="D166" s="356"/>
      <c r="E166" s="355"/>
      <c r="F166" s="356"/>
      <c r="G166" s="230">
        <f t="shared" ref="G166:Z166" si="52">G$8-G155</f>
        <v>0</v>
      </c>
      <c r="H166" s="293">
        <f t="shared" si="52"/>
        <v>0</v>
      </c>
      <c r="I166" s="230">
        <f t="shared" si="52"/>
        <v>0</v>
      </c>
      <c r="J166" s="293">
        <f t="shared" si="52"/>
        <v>0</v>
      </c>
      <c r="K166" s="230">
        <f t="shared" si="52"/>
        <v>0</v>
      </c>
      <c r="L166" s="293">
        <f t="shared" si="52"/>
        <v>0</v>
      </c>
      <c r="M166" s="230">
        <f t="shared" si="52"/>
        <v>0</v>
      </c>
      <c r="N166" s="293">
        <f t="shared" si="52"/>
        <v>0</v>
      </c>
      <c r="O166" s="230">
        <f t="shared" si="52"/>
        <v>0</v>
      </c>
      <c r="P166" s="293">
        <f t="shared" si="52"/>
        <v>0</v>
      </c>
      <c r="Q166" s="230">
        <f t="shared" si="52"/>
        <v>0</v>
      </c>
      <c r="R166" s="293">
        <f t="shared" si="52"/>
        <v>0</v>
      </c>
      <c r="S166" s="230">
        <f t="shared" si="52"/>
        <v>0</v>
      </c>
      <c r="T166" s="293">
        <f t="shared" si="52"/>
        <v>0</v>
      </c>
      <c r="U166" s="230">
        <f t="shared" si="52"/>
        <v>0</v>
      </c>
      <c r="V166" s="293">
        <f t="shared" si="52"/>
        <v>0</v>
      </c>
      <c r="W166" s="230">
        <f t="shared" si="52"/>
        <v>0</v>
      </c>
      <c r="X166" s="293">
        <f t="shared" si="52"/>
        <v>0</v>
      </c>
      <c r="Y166" s="230">
        <f t="shared" si="52"/>
        <v>0</v>
      </c>
      <c r="Z166" s="293">
        <f t="shared" si="52"/>
        <v>0</v>
      </c>
    </row>
    <row r="167" spans="1:26" x14ac:dyDescent="0.2">
      <c r="A167" s="699"/>
      <c r="B167" s="272" t="s">
        <v>376</v>
      </c>
      <c r="C167" s="355"/>
      <c r="D167" s="356"/>
      <c r="E167" s="355"/>
      <c r="F167" s="356"/>
      <c r="G167" s="230">
        <f t="shared" ref="G167:Z167" si="53">G$9-G156</f>
        <v>1827</v>
      </c>
      <c r="H167" s="293">
        <f t="shared" si="53"/>
        <v>6.1000000000000014</v>
      </c>
      <c r="I167" s="230">
        <f t="shared" si="53"/>
        <v>21925</v>
      </c>
      <c r="J167" s="293">
        <f t="shared" si="53"/>
        <v>6.1000000000000014</v>
      </c>
      <c r="K167" s="230">
        <f t="shared" si="53"/>
        <v>16056</v>
      </c>
      <c r="L167" s="293">
        <f t="shared" si="53"/>
        <v>6.6999999999999993</v>
      </c>
      <c r="M167" s="230">
        <f t="shared" si="53"/>
        <v>28523</v>
      </c>
      <c r="N167" s="293">
        <f t="shared" si="53"/>
        <v>7.8999999999999986</v>
      </c>
      <c r="O167" s="230">
        <f t="shared" si="53"/>
        <v>68264</v>
      </c>
      <c r="P167" s="293">
        <f t="shared" si="53"/>
        <v>19</v>
      </c>
      <c r="Q167" s="230">
        <f t="shared" si="53"/>
        <v>40044</v>
      </c>
      <c r="R167" s="293">
        <f t="shared" si="53"/>
        <v>16.700000000000003</v>
      </c>
      <c r="S167" s="230">
        <f t="shared" si="53"/>
        <v>27270</v>
      </c>
      <c r="T167" s="293">
        <f t="shared" si="53"/>
        <v>11.400000000000006</v>
      </c>
      <c r="U167" s="230">
        <f t="shared" si="53"/>
        <v>19269</v>
      </c>
      <c r="V167" s="293">
        <f t="shared" si="53"/>
        <v>6</v>
      </c>
      <c r="W167" s="230">
        <f t="shared" si="53"/>
        <v>52427</v>
      </c>
      <c r="X167" s="293">
        <f t="shared" si="53"/>
        <v>14.5</v>
      </c>
      <c r="Y167" s="230">
        <f t="shared" si="53"/>
        <v>16078</v>
      </c>
      <c r="Z167" s="293">
        <f t="shared" si="53"/>
        <v>6.6999999999999993</v>
      </c>
    </row>
    <row r="168" spans="1:26" x14ac:dyDescent="0.2">
      <c r="A168" s="699"/>
      <c r="B168" s="272" t="s">
        <v>377</v>
      </c>
      <c r="C168" s="355"/>
      <c r="D168" s="356"/>
      <c r="E168" s="355"/>
      <c r="F168" s="356"/>
      <c r="G168" s="230">
        <f t="shared" ref="G168:Z168" si="54">G$10-G157</f>
        <v>-3</v>
      </c>
      <c r="H168" s="293">
        <f t="shared" si="54"/>
        <v>0</v>
      </c>
      <c r="I168" s="230">
        <f t="shared" si="54"/>
        <v>-26</v>
      </c>
      <c r="J168" s="293">
        <f t="shared" si="54"/>
        <v>0</v>
      </c>
      <c r="K168" s="230">
        <f t="shared" si="54"/>
        <v>-32</v>
      </c>
      <c r="L168" s="293">
        <f t="shared" si="54"/>
        <v>0</v>
      </c>
      <c r="M168" s="230">
        <f t="shared" si="54"/>
        <v>-110</v>
      </c>
      <c r="N168" s="293">
        <f t="shared" si="54"/>
        <v>0</v>
      </c>
      <c r="O168" s="230">
        <f t="shared" si="54"/>
        <v>-40</v>
      </c>
      <c r="P168" s="293">
        <f t="shared" si="54"/>
        <v>0</v>
      </c>
      <c r="Q168" s="230">
        <f t="shared" si="54"/>
        <v>-29</v>
      </c>
      <c r="R168" s="293">
        <f t="shared" si="54"/>
        <v>0</v>
      </c>
      <c r="S168" s="230">
        <f t="shared" si="54"/>
        <v>61</v>
      </c>
      <c r="T168" s="293">
        <f t="shared" si="54"/>
        <v>0</v>
      </c>
      <c r="U168" s="230">
        <f t="shared" si="54"/>
        <v>-33</v>
      </c>
      <c r="V168" s="293">
        <f t="shared" si="54"/>
        <v>0</v>
      </c>
      <c r="W168" s="230">
        <f t="shared" si="54"/>
        <v>-51</v>
      </c>
      <c r="X168" s="293">
        <f t="shared" si="54"/>
        <v>0</v>
      </c>
      <c r="Y168" s="230">
        <f t="shared" si="54"/>
        <v>-20</v>
      </c>
      <c r="Z168" s="293">
        <f t="shared" si="54"/>
        <v>0</v>
      </c>
    </row>
    <row r="169" spans="1:26" x14ac:dyDescent="0.2">
      <c r="A169" s="699"/>
      <c r="B169" s="272" t="s">
        <v>378</v>
      </c>
      <c r="C169" s="355"/>
      <c r="D169" s="356"/>
      <c r="E169" s="355"/>
      <c r="F169" s="356"/>
      <c r="G169" s="230">
        <f t="shared" ref="G169:Z169" si="55">G$11-G158</f>
        <v>0</v>
      </c>
      <c r="H169" s="293">
        <f t="shared" si="55"/>
        <v>0</v>
      </c>
      <c r="I169" s="230">
        <f t="shared" si="55"/>
        <v>0</v>
      </c>
      <c r="J169" s="293">
        <f t="shared" si="55"/>
        <v>0</v>
      </c>
      <c r="K169" s="230">
        <f t="shared" si="55"/>
        <v>0</v>
      </c>
      <c r="L169" s="293">
        <f t="shared" si="55"/>
        <v>0</v>
      </c>
      <c r="M169" s="230">
        <f t="shared" si="55"/>
        <v>0</v>
      </c>
      <c r="N169" s="293">
        <f t="shared" si="55"/>
        <v>0</v>
      </c>
      <c r="O169" s="230">
        <f t="shared" si="55"/>
        <v>0</v>
      </c>
      <c r="P169" s="293">
        <f t="shared" si="55"/>
        <v>0</v>
      </c>
      <c r="Q169" s="230">
        <f t="shared" si="55"/>
        <v>0</v>
      </c>
      <c r="R169" s="293">
        <f t="shared" si="55"/>
        <v>0</v>
      </c>
      <c r="S169" s="230">
        <f t="shared" si="55"/>
        <v>0</v>
      </c>
      <c r="T169" s="293">
        <f t="shared" si="55"/>
        <v>0</v>
      </c>
      <c r="U169" s="230">
        <f t="shared" si="55"/>
        <v>0</v>
      </c>
      <c r="V169" s="293">
        <f t="shared" si="55"/>
        <v>0</v>
      </c>
      <c r="W169" s="230">
        <f t="shared" si="55"/>
        <v>0</v>
      </c>
      <c r="X169" s="293">
        <f t="shared" si="55"/>
        <v>0</v>
      </c>
      <c r="Y169" s="230">
        <f t="shared" si="55"/>
        <v>0</v>
      </c>
      <c r="Z169" s="293">
        <f t="shared" si="55"/>
        <v>0</v>
      </c>
    </row>
    <row r="170" spans="1:26" x14ac:dyDescent="0.2">
      <c r="A170" s="699"/>
      <c r="B170" s="272" t="s">
        <v>379</v>
      </c>
      <c r="C170" s="355"/>
      <c r="D170" s="356"/>
      <c r="E170" s="355"/>
      <c r="F170" s="356"/>
      <c r="G170" s="230">
        <f t="shared" ref="G170:Z170" si="56">G$12-G159</f>
        <v>0</v>
      </c>
      <c r="H170" s="293">
        <f t="shared" si="56"/>
        <v>0</v>
      </c>
      <c r="I170" s="230">
        <f t="shared" si="56"/>
        <v>0</v>
      </c>
      <c r="J170" s="293">
        <f t="shared" si="56"/>
        <v>0</v>
      </c>
      <c r="K170" s="230">
        <f t="shared" si="56"/>
        <v>0</v>
      </c>
      <c r="L170" s="293">
        <f t="shared" si="56"/>
        <v>0</v>
      </c>
      <c r="M170" s="230">
        <f t="shared" si="56"/>
        <v>0</v>
      </c>
      <c r="N170" s="293">
        <f t="shared" si="56"/>
        <v>0</v>
      </c>
      <c r="O170" s="230">
        <f t="shared" si="56"/>
        <v>0</v>
      </c>
      <c r="P170" s="293">
        <f t="shared" si="56"/>
        <v>0</v>
      </c>
      <c r="Q170" s="230">
        <f t="shared" si="56"/>
        <v>0</v>
      </c>
      <c r="R170" s="293">
        <f t="shared" si="56"/>
        <v>0</v>
      </c>
      <c r="S170" s="230">
        <f t="shared" si="56"/>
        <v>0</v>
      </c>
      <c r="T170" s="293">
        <f t="shared" si="56"/>
        <v>0</v>
      </c>
      <c r="U170" s="230">
        <f t="shared" si="56"/>
        <v>0</v>
      </c>
      <c r="V170" s="293">
        <f t="shared" si="56"/>
        <v>0</v>
      </c>
      <c r="W170" s="230">
        <f t="shared" si="56"/>
        <v>0</v>
      </c>
      <c r="X170" s="293">
        <f t="shared" si="56"/>
        <v>0</v>
      </c>
      <c r="Y170" s="230">
        <f t="shared" si="56"/>
        <v>0</v>
      </c>
      <c r="Z170" s="293">
        <f t="shared" si="56"/>
        <v>0</v>
      </c>
    </row>
    <row r="171" spans="1:26" x14ac:dyDescent="0.2">
      <c r="A171" s="699"/>
      <c r="B171" s="272" t="s">
        <v>380</v>
      </c>
      <c r="C171" s="355"/>
      <c r="D171" s="356"/>
      <c r="E171" s="355"/>
      <c r="F171" s="356"/>
      <c r="G171" s="230">
        <f t="shared" ref="G171:Z171" si="57">G$13-G160</f>
        <v>0</v>
      </c>
      <c r="H171" s="293">
        <f t="shared" si="57"/>
        <v>0</v>
      </c>
      <c r="I171" s="230">
        <f t="shared" si="57"/>
        <v>0</v>
      </c>
      <c r="J171" s="293">
        <f t="shared" si="57"/>
        <v>0</v>
      </c>
      <c r="K171" s="230">
        <f t="shared" si="57"/>
        <v>0</v>
      </c>
      <c r="L171" s="293">
        <f t="shared" si="57"/>
        <v>0</v>
      </c>
      <c r="M171" s="230">
        <f t="shared" si="57"/>
        <v>0</v>
      </c>
      <c r="N171" s="293">
        <f t="shared" si="57"/>
        <v>0</v>
      </c>
      <c r="O171" s="230">
        <f t="shared" si="57"/>
        <v>0</v>
      </c>
      <c r="P171" s="293">
        <f t="shared" si="57"/>
        <v>0</v>
      </c>
      <c r="Q171" s="230">
        <f t="shared" si="57"/>
        <v>0</v>
      </c>
      <c r="R171" s="293">
        <f t="shared" si="57"/>
        <v>0</v>
      </c>
      <c r="S171" s="230">
        <f t="shared" si="57"/>
        <v>0</v>
      </c>
      <c r="T171" s="293">
        <f t="shared" si="57"/>
        <v>0</v>
      </c>
      <c r="U171" s="230">
        <f t="shared" si="57"/>
        <v>0</v>
      </c>
      <c r="V171" s="293">
        <f t="shared" si="57"/>
        <v>0</v>
      </c>
      <c r="W171" s="230">
        <f t="shared" si="57"/>
        <v>0</v>
      </c>
      <c r="X171" s="293">
        <f t="shared" si="57"/>
        <v>0</v>
      </c>
      <c r="Y171" s="230">
        <f t="shared" si="57"/>
        <v>0</v>
      </c>
      <c r="Z171" s="293">
        <f t="shared" si="57"/>
        <v>0</v>
      </c>
    </row>
    <row r="172" spans="1:26" x14ac:dyDescent="0.2">
      <c r="A172" s="699"/>
      <c r="B172" s="272" t="s">
        <v>381</v>
      </c>
      <c r="C172" s="355"/>
      <c r="D172" s="356"/>
      <c r="E172" s="355"/>
      <c r="F172" s="356"/>
      <c r="G172" s="230">
        <f t="shared" ref="G172:Z172" si="58">G$14-G161</f>
        <v>0</v>
      </c>
      <c r="H172" s="293">
        <f t="shared" si="58"/>
        <v>0</v>
      </c>
      <c r="I172" s="230">
        <f t="shared" si="58"/>
        <v>1476</v>
      </c>
      <c r="J172" s="293">
        <f t="shared" si="58"/>
        <v>0.39999999999999947</v>
      </c>
      <c r="K172" s="230">
        <f t="shared" si="58"/>
        <v>0</v>
      </c>
      <c r="L172" s="293">
        <f t="shared" si="58"/>
        <v>0</v>
      </c>
      <c r="M172" s="230">
        <f t="shared" si="58"/>
        <v>1843</v>
      </c>
      <c r="N172" s="293">
        <f t="shared" si="58"/>
        <v>0.5</v>
      </c>
      <c r="O172" s="230">
        <f t="shared" si="58"/>
        <v>4120</v>
      </c>
      <c r="P172" s="293">
        <f t="shared" si="58"/>
        <v>1.1000000000000014</v>
      </c>
      <c r="Q172" s="230">
        <f t="shared" si="58"/>
        <v>0</v>
      </c>
      <c r="R172" s="293">
        <f t="shared" si="58"/>
        <v>0</v>
      </c>
      <c r="S172" s="230">
        <f t="shared" si="58"/>
        <v>1863</v>
      </c>
      <c r="T172" s="293">
        <f t="shared" si="58"/>
        <v>0.80000000000000071</v>
      </c>
      <c r="U172" s="230">
        <f t="shared" si="58"/>
        <v>0</v>
      </c>
      <c r="V172" s="293">
        <f t="shared" si="58"/>
        <v>0</v>
      </c>
      <c r="W172" s="230">
        <f t="shared" si="58"/>
        <v>3961</v>
      </c>
      <c r="X172" s="293">
        <f t="shared" si="58"/>
        <v>1.1000000000000014</v>
      </c>
      <c r="Y172" s="230">
        <f t="shared" si="58"/>
        <v>1242</v>
      </c>
      <c r="Z172" s="293">
        <f t="shared" si="58"/>
        <v>0.5</v>
      </c>
    </row>
    <row r="173" spans="1:26" s="20" customFormat="1" x14ac:dyDescent="0.2">
      <c r="A173" s="700"/>
      <c r="B173" s="274" t="s">
        <v>382</v>
      </c>
      <c r="C173" s="357"/>
      <c r="D173" s="358"/>
      <c r="E173" s="357"/>
      <c r="F173" s="358"/>
      <c r="G173" s="275">
        <f t="shared" ref="G173:Z173" si="59">G$15-G162</f>
        <v>1455</v>
      </c>
      <c r="H173" s="294">
        <f t="shared" si="59"/>
        <v>4.8000000000000114</v>
      </c>
      <c r="I173" s="275">
        <f t="shared" si="59"/>
        <v>19129</v>
      </c>
      <c r="J173" s="294">
        <f t="shared" si="59"/>
        <v>5.2999999999999829</v>
      </c>
      <c r="K173" s="275">
        <f t="shared" si="59"/>
        <v>12275</v>
      </c>
      <c r="L173" s="294">
        <f t="shared" si="59"/>
        <v>5.0999999999999943</v>
      </c>
      <c r="M173" s="275">
        <f t="shared" si="59"/>
        <v>24682</v>
      </c>
      <c r="N173" s="294">
        <f t="shared" si="59"/>
        <v>6.7999999999999829</v>
      </c>
      <c r="O173" s="275">
        <f t="shared" si="59"/>
        <v>58204</v>
      </c>
      <c r="P173" s="294">
        <f t="shared" si="59"/>
        <v>16.199999999999989</v>
      </c>
      <c r="Q173" s="275">
        <f t="shared" si="59"/>
        <v>31132</v>
      </c>
      <c r="R173" s="294">
        <f t="shared" si="59"/>
        <v>13</v>
      </c>
      <c r="S173" s="275">
        <f t="shared" si="59"/>
        <v>23670</v>
      </c>
      <c r="T173" s="294">
        <f t="shared" si="59"/>
        <v>9.8000000000000114</v>
      </c>
      <c r="U173" s="275">
        <f t="shared" si="59"/>
        <v>12347</v>
      </c>
      <c r="V173" s="294">
        <f t="shared" si="59"/>
        <v>3.8999999999999773</v>
      </c>
      <c r="W173" s="275">
        <f t="shared" si="59"/>
        <v>46323</v>
      </c>
      <c r="X173" s="294">
        <f t="shared" si="59"/>
        <v>12.899999999999977</v>
      </c>
      <c r="Y173" s="275">
        <f t="shared" si="59"/>
        <v>14267</v>
      </c>
      <c r="Z173" s="294">
        <f t="shared" si="59"/>
        <v>6</v>
      </c>
    </row>
    <row r="174" spans="1:26" s="20" customFormat="1" x14ac:dyDescent="0.2">
      <c r="A174" s="266"/>
      <c r="B174" s="227"/>
      <c r="C174" s="267"/>
      <c r="D174" s="232"/>
      <c r="E174" s="268"/>
      <c r="F174" s="237"/>
      <c r="G174" s="267"/>
      <c r="H174" s="232"/>
      <c r="I174" s="267"/>
      <c r="J174" s="232"/>
      <c r="K174" s="267"/>
      <c r="L174" s="232"/>
      <c r="M174" s="267"/>
      <c r="N174" s="232"/>
      <c r="O174" s="267"/>
      <c r="P174" s="232"/>
      <c r="Q174" s="267"/>
      <c r="R174" s="232"/>
      <c r="S174" s="267"/>
      <c r="T174" s="232"/>
      <c r="U174" s="267"/>
      <c r="V174" s="232"/>
      <c r="W174" s="267"/>
      <c r="X174" s="232"/>
      <c r="Y174" s="267"/>
      <c r="Z174" s="232"/>
    </row>
    <row r="175" spans="1:26" s="202" customFormat="1" ht="13.15" customHeight="1" x14ac:dyDescent="0.2">
      <c r="A175" s="698" t="s">
        <v>554</v>
      </c>
      <c r="B175" s="359" t="s">
        <v>488</v>
      </c>
      <c r="C175" s="368"/>
      <c r="D175" s="369"/>
      <c r="E175" s="368"/>
      <c r="F175" s="369"/>
      <c r="G175" s="304" t="s">
        <v>486</v>
      </c>
      <c r="H175" s="280" t="s">
        <v>487</v>
      </c>
      <c r="I175" s="304" t="s">
        <v>486</v>
      </c>
      <c r="J175" s="280" t="s">
        <v>487</v>
      </c>
      <c r="K175" s="304" t="s">
        <v>486</v>
      </c>
      <c r="L175" s="280" t="s">
        <v>487</v>
      </c>
      <c r="M175" s="304" t="s">
        <v>486</v>
      </c>
      <c r="N175" s="280" t="s">
        <v>487</v>
      </c>
      <c r="O175" s="304" t="s">
        <v>486</v>
      </c>
      <c r="P175" s="280" t="s">
        <v>487</v>
      </c>
      <c r="Q175" s="304" t="s">
        <v>486</v>
      </c>
      <c r="R175" s="280" t="s">
        <v>487</v>
      </c>
      <c r="S175" s="304" t="s">
        <v>486</v>
      </c>
      <c r="T175" s="280" t="s">
        <v>487</v>
      </c>
      <c r="U175" s="304" t="s">
        <v>486</v>
      </c>
      <c r="V175" s="280" t="s">
        <v>487</v>
      </c>
      <c r="W175" s="304" t="s">
        <v>486</v>
      </c>
      <c r="X175" s="280" t="s">
        <v>487</v>
      </c>
      <c r="Y175" s="304" t="s">
        <v>486</v>
      </c>
      <c r="Z175" s="314" t="s">
        <v>487</v>
      </c>
    </row>
    <row r="176" spans="1:26" x14ac:dyDescent="0.2">
      <c r="A176" s="699"/>
      <c r="B176" s="144" t="s">
        <v>278</v>
      </c>
      <c r="C176" s="370"/>
      <c r="D176" s="371"/>
      <c r="E176" s="370"/>
      <c r="F176" s="371"/>
      <c r="G176" s="401" t="str">
        <f>'6 Oversikt startpunkt'!D14</f>
        <v>12</v>
      </c>
      <c r="H176" s="350">
        <v>6</v>
      </c>
      <c r="I176" s="349" t="str">
        <f>'6 Oversikt startpunkt'!E14</f>
        <v>10</v>
      </c>
      <c r="J176" s="350">
        <v>6</v>
      </c>
      <c r="K176" s="349" t="str">
        <f>'6 Oversikt startpunkt'!F14</f>
        <v>16</v>
      </c>
      <c r="L176" s="351">
        <v>8</v>
      </c>
      <c r="M176" s="350" t="str">
        <f>'6 Oversikt startpunkt'!G14</f>
        <v>13</v>
      </c>
      <c r="N176" s="350">
        <v>7</v>
      </c>
      <c r="O176" s="349" t="str">
        <f>'6 Oversikt startpunkt'!H14</f>
        <v>16/3</v>
      </c>
      <c r="P176" s="351" t="str">
        <f>'7 Passivhusnivå'!J33</f>
        <v>9 / 3</v>
      </c>
      <c r="Q176" s="350" t="str">
        <f>'6 Oversikt startpunkt'!I14</f>
        <v>14/3</v>
      </c>
      <c r="R176" s="350" t="str">
        <f>'7 Passivhusnivå'!K33</f>
        <v>7 / 3</v>
      </c>
      <c r="S176" s="349" t="str">
        <f>'6 Oversikt startpunkt'!J14</f>
        <v>10</v>
      </c>
      <c r="T176" s="351">
        <v>5</v>
      </c>
      <c r="U176" s="350" t="str">
        <f>'6 Oversikt startpunkt'!K14</f>
        <v>12</v>
      </c>
      <c r="V176" s="350">
        <v>6</v>
      </c>
      <c r="W176" s="349" t="str">
        <f>'6 Oversikt startpunkt'!L14</f>
        <v>20</v>
      </c>
      <c r="X176" s="351">
        <v>11</v>
      </c>
      <c r="Y176" s="349" t="str">
        <f>'6 Oversikt startpunkt'!M14</f>
        <v>12</v>
      </c>
      <c r="Z176" s="351">
        <v>6</v>
      </c>
    </row>
    <row r="177" spans="1:26" x14ac:dyDescent="0.2">
      <c r="A177" s="699"/>
      <c r="B177" s="78" t="s">
        <v>14</v>
      </c>
      <c r="C177" s="372"/>
      <c r="D177" s="373"/>
      <c r="E177" s="372"/>
      <c r="F177" s="373"/>
      <c r="G177" s="305">
        <f>'6 Oversikt startpunkt'!D15</f>
        <v>0.7</v>
      </c>
      <c r="H177" s="209">
        <v>0.85</v>
      </c>
      <c r="I177" s="305">
        <f>'6 Oversikt startpunkt'!E15</f>
        <v>0.7</v>
      </c>
      <c r="J177" s="209">
        <v>0.85</v>
      </c>
      <c r="K177" s="209">
        <f>'6 Oversikt startpunkt'!F15</f>
        <v>0.7</v>
      </c>
      <c r="L177" s="209">
        <v>0.85</v>
      </c>
      <c r="M177" s="305">
        <f>'6 Oversikt startpunkt'!G15</f>
        <v>0.7</v>
      </c>
      <c r="N177" s="209">
        <v>0.85</v>
      </c>
      <c r="O177" s="209">
        <f>'6 Oversikt startpunkt'!H15</f>
        <v>0.7</v>
      </c>
      <c r="P177" s="209">
        <v>0.85</v>
      </c>
      <c r="Q177" s="305">
        <f>'6 Oversikt startpunkt'!I15</f>
        <v>0.7</v>
      </c>
      <c r="R177" s="209">
        <v>0.85</v>
      </c>
      <c r="S177" s="305">
        <f>'6 Oversikt startpunkt'!J15</f>
        <v>0.7</v>
      </c>
      <c r="T177" s="209">
        <v>0.85</v>
      </c>
      <c r="U177" s="305">
        <f>'6 Oversikt startpunkt'!K15</f>
        <v>0.7</v>
      </c>
      <c r="V177" s="209">
        <v>0.85</v>
      </c>
      <c r="W177" s="209">
        <f>'6 Oversikt startpunkt'!L15</f>
        <v>0.7</v>
      </c>
      <c r="X177" s="209">
        <v>0.85</v>
      </c>
      <c r="Y177" s="305">
        <f>'6 Oversikt startpunkt'!M15</f>
        <v>0.7</v>
      </c>
      <c r="Z177" s="209">
        <v>0.85</v>
      </c>
    </row>
    <row r="178" spans="1:26" x14ac:dyDescent="0.2">
      <c r="A178" s="699"/>
      <c r="B178" s="78" t="s">
        <v>510</v>
      </c>
      <c r="C178" s="372"/>
      <c r="D178" s="373"/>
      <c r="E178" s="372"/>
      <c r="F178" s="373"/>
      <c r="G178" s="305">
        <f>'6 Oversikt startpunkt'!D16</f>
        <v>-6</v>
      </c>
      <c r="H178" s="209" t="str">
        <f>'7 Passivhusnivå'!F35</f>
        <v>Ingen</v>
      </c>
      <c r="I178" s="305">
        <f>'6 Oversikt startpunkt'!E16</f>
        <v>-6</v>
      </c>
      <c r="J178" s="399" t="str">
        <f>'7 Passivhusnivå'!G35</f>
        <v>Ingen</v>
      </c>
      <c r="K178" s="209">
        <f>'6 Oversikt startpunkt'!F16</f>
        <v>-6</v>
      </c>
      <c r="L178" s="209" t="str">
        <f>'7 Passivhusnivå'!H35</f>
        <v>Ingen</v>
      </c>
      <c r="M178" s="305">
        <f>'6 Oversikt startpunkt'!G16</f>
        <v>-6</v>
      </c>
      <c r="N178" s="399" t="str">
        <f>'7 Passivhusnivå'!I35</f>
        <v>Ingen</v>
      </c>
      <c r="O178" s="209">
        <f>'6 Oversikt startpunkt'!H16</f>
        <v>-6</v>
      </c>
      <c r="P178" s="209" t="str">
        <f>'7 Passivhusnivå'!J35</f>
        <v>Ingen</v>
      </c>
      <c r="Q178" s="305">
        <f>'6 Oversikt startpunkt'!I16</f>
        <v>-6</v>
      </c>
      <c r="R178" s="367" t="str">
        <f>'7 Passivhusnivå'!K35</f>
        <v>Ingen</v>
      </c>
      <c r="S178" s="305">
        <f>'6 Oversikt startpunkt'!J16</f>
        <v>-6</v>
      </c>
      <c r="T178" s="209" t="str">
        <f>'7 Passivhusnivå'!L35</f>
        <v>Ingen</v>
      </c>
      <c r="U178" s="305">
        <f>'6 Oversikt startpunkt'!K16</f>
        <v>-6</v>
      </c>
      <c r="V178" s="399" t="str">
        <f>'7 Passivhusnivå'!M35</f>
        <v>Ingen</v>
      </c>
      <c r="W178" s="209">
        <f>'6 Oversikt startpunkt'!L16</f>
        <v>-6</v>
      </c>
      <c r="X178" s="209" t="str">
        <f>'7 Passivhusnivå'!N35</f>
        <v>Ingen</v>
      </c>
      <c r="Y178" s="305">
        <f>'6 Oversikt startpunkt'!M16</f>
        <v>-6</v>
      </c>
      <c r="Z178" s="399" t="str">
        <f>'7 Passivhusnivå'!O35</f>
        <v>Ingen</v>
      </c>
    </row>
    <row r="179" spans="1:26" x14ac:dyDescent="0.2">
      <c r="A179" s="699"/>
      <c r="B179" s="78" t="s">
        <v>283</v>
      </c>
      <c r="C179" s="372"/>
      <c r="D179" s="373"/>
      <c r="E179" s="372"/>
      <c r="F179" s="373"/>
      <c r="G179" s="311">
        <f>'6 Oversikt startpunkt'!D17</f>
        <v>3</v>
      </c>
      <c r="H179" s="209">
        <v>2</v>
      </c>
      <c r="I179" s="305">
        <f>'6 Oversikt startpunkt'!E17</f>
        <v>3</v>
      </c>
      <c r="J179" s="209">
        <v>2</v>
      </c>
      <c r="K179" s="209">
        <f>'6 Oversikt startpunkt'!F17</f>
        <v>3</v>
      </c>
      <c r="L179" s="209">
        <v>2</v>
      </c>
      <c r="M179" s="305">
        <f>'6 Oversikt startpunkt'!G17</f>
        <v>3</v>
      </c>
      <c r="N179" s="209">
        <v>2</v>
      </c>
      <c r="O179" s="209">
        <f>'6 Oversikt startpunkt'!H17</f>
        <v>3</v>
      </c>
      <c r="P179" s="209">
        <v>2</v>
      </c>
      <c r="Q179" s="305">
        <f>'6 Oversikt startpunkt'!I17</f>
        <v>3</v>
      </c>
      <c r="R179" s="209">
        <v>2</v>
      </c>
      <c r="S179" s="311">
        <f>'6 Oversikt startpunkt'!J17</f>
        <v>3</v>
      </c>
      <c r="T179" s="209">
        <v>2</v>
      </c>
      <c r="U179" s="305">
        <f>'6 Oversikt startpunkt'!K17</f>
        <v>3</v>
      </c>
      <c r="V179" s="209">
        <v>2</v>
      </c>
      <c r="W179" s="209">
        <f>'6 Oversikt startpunkt'!L17</f>
        <v>3</v>
      </c>
      <c r="X179" s="209">
        <v>2</v>
      </c>
      <c r="Y179" s="305">
        <f>'6 Oversikt startpunkt'!M17</f>
        <v>3</v>
      </c>
      <c r="Z179" s="209">
        <v>2</v>
      </c>
    </row>
    <row r="180" spans="1:26" s="216" customFormat="1" x14ac:dyDescent="0.2">
      <c r="A180" s="699"/>
      <c r="B180" s="360" t="s">
        <v>490</v>
      </c>
      <c r="C180" s="353"/>
      <c r="D180" s="374"/>
      <c r="E180" s="353"/>
      <c r="F180" s="354"/>
      <c r="G180" s="292" t="s">
        <v>372</v>
      </c>
      <c r="H180" s="290" t="s">
        <v>397</v>
      </c>
      <c r="I180" s="289" t="s">
        <v>372</v>
      </c>
      <c r="J180" s="291" t="s">
        <v>397</v>
      </c>
      <c r="K180" s="292" t="s">
        <v>372</v>
      </c>
      <c r="L180" s="290" t="s">
        <v>397</v>
      </c>
      <c r="M180" s="289" t="s">
        <v>372</v>
      </c>
      <c r="N180" s="290" t="s">
        <v>397</v>
      </c>
      <c r="O180" s="289" t="s">
        <v>372</v>
      </c>
      <c r="P180" s="290" t="s">
        <v>397</v>
      </c>
      <c r="Q180" s="289" t="s">
        <v>372</v>
      </c>
      <c r="R180" s="290" t="s">
        <v>397</v>
      </c>
      <c r="S180" s="289" t="s">
        <v>372</v>
      </c>
      <c r="T180" s="290" t="s">
        <v>397</v>
      </c>
      <c r="U180" s="289" t="s">
        <v>372</v>
      </c>
      <c r="V180" s="290" t="s">
        <v>397</v>
      </c>
      <c r="W180" s="289" t="s">
        <v>372</v>
      </c>
      <c r="X180" s="290" t="s">
        <v>397</v>
      </c>
      <c r="Y180" s="289" t="s">
        <v>372</v>
      </c>
      <c r="Z180" s="291" t="s">
        <v>397</v>
      </c>
    </row>
    <row r="181" spans="1:26" x14ac:dyDescent="0.2">
      <c r="A181" s="699"/>
      <c r="B181" s="205" t="s">
        <v>373</v>
      </c>
      <c r="C181" s="355"/>
      <c r="D181" s="375"/>
      <c r="E181" s="355"/>
      <c r="F181" s="376"/>
      <c r="G181" s="285">
        <v>27438</v>
      </c>
      <c r="H181" s="231">
        <v>91.5</v>
      </c>
      <c r="I181" s="230">
        <v>123120</v>
      </c>
      <c r="J181" s="273">
        <v>34.200000000000003</v>
      </c>
      <c r="K181" s="285">
        <v>120585</v>
      </c>
      <c r="L181" s="231">
        <v>50.2</v>
      </c>
      <c r="M181" s="230">
        <v>120827</v>
      </c>
      <c r="N181" s="231">
        <v>33.6</v>
      </c>
      <c r="O181" s="230">
        <v>132722</v>
      </c>
      <c r="P181" s="231">
        <v>36.9</v>
      </c>
      <c r="Q181" s="230">
        <v>105255</v>
      </c>
      <c r="R181" s="231">
        <v>43.9</v>
      </c>
      <c r="S181" s="230">
        <v>141055</v>
      </c>
      <c r="T181" s="231">
        <v>58.8</v>
      </c>
      <c r="U181" s="230">
        <v>285270</v>
      </c>
      <c r="V181" s="231">
        <v>89.1</v>
      </c>
      <c r="W181" s="230">
        <v>108983</v>
      </c>
      <c r="X181" s="231">
        <v>30.3</v>
      </c>
      <c r="Y181" s="230">
        <v>174489</v>
      </c>
      <c r="Z181" s="273">
        <v>72.7</v>
      </c>
    </row>
    <row r="182" spans="1:26" x14ac:dyDescent="0.2">
      <c r="A182" s="699"/>
      <c r="B182" s="205" t="s">
        <v>374</v>
      </c>
      <c r="C182" s="355"/>
      <c r="D182" s="375"/>
      <c r="E182" s="355"/>
      <c r="F182" s="376"/>
      <c r="G182" s="285">
        <v>22</v>
      </c>
      <c r="H182" s="231">
        <v>0.1</v>
      </c>
      <c r="I182" s="230">
        <v>287</v>
      </c>
      <c r="J182" s="273">
        <v>0.1</v>
      </c>
      <c r="K182" s="285">
        <v>226</v>
      </c>
      <c r="L182" s="231">
        <v>0.1</v>
      </c>
      <c r="M182" s="230">
        <v>335</v>
      </c>
      <c r="N182" s="231">
        <v>0.1</v>
      </c>
      <c r="O182" s="230">
        <v>6882</v>
      </c>
      <c r="P182" s="231">
        <v>1.9</v>
      </c>
      <c r="Q182" s="230">
        <v>4708</v>
      </c>
      <c r="R182" s="231">
        <v>2</v>
      </c>
      <c r="S182" s="230">
        <v>258</v>
      </c>
      <c r="T182" s="231">
        <v>0.1</v>
      </c>
      <c r="U182" s="230">
        <v>6295</v>
      </c>
      <c r="V182" s="231">
        <v>2</v>
      </c>
      <c r="W182" s="230">
        <v>549</v>
      </c>
      <c r="X182" s="231">
        <v>0.2</v>
      </c>
      <c r="Y182" s="230">
        <v>157</v>
      </c>
      <c r="Z182" s="273">
        <v>0.1</v>
      </c>
    </row>
    <row r="183" spans="1:26" x14ac:dyDescent="0.2">
      <c r="A183" s="699"/>
      <c r="B183" s="205" t="s">
        <v>375</v>
      </c>
      <c r="C183" s="355"/>
      <c r="D183" s="375"/>
      <c r="E183" s="355"/>
      <c r="F183" s="376"/>
      <c r="G183" s="285">
        <v>3007</v>
      </c>
      <c r="H183" s="231">
        <v>10</v>
      </c>
      <c r="I183" s="230">
        <v>18040</v>
      </c>
      <c r="J183" s="273">
        <v>5</v>
      </c>
      <c r="K183" s="285">
        <v>23530</v>
      </c>
      <c r="L183" s="231">
        <v>9.8000000000000007</v>
      </c>
      <c r="M183" s="230">
        <v>18040</v>
      </c>
      <c r="N183" s="231">
        <v>5</v>
      </c>
      <c r="O183" s="230">
        <v>107170</v>
      </c>
      <c r="P183" s="231">
        <v>29.8</v>
      </c>
      <c r="Q183" s="230">
        <v>71482</v>
      </c>
      <c r="R183" s="231">
        <v>29.8</v>
      </c>
      <c r="S183" s="230">
        <v>71482</v>
      </c>
      <c r="T183" s="231">
        <v>29.8</v>
      </c>
      <c r="U183" s="230">
        <v>156864</v>
      </c>
      <c r="V183" s="231">
        <v>49</v>
      </c>
      <c r="W183" s="230">
        <v>36408</v>
      </c>
      <c r="X183" s="231">
        <v>10.1</v>
      </c>
      <c r="Y183" s="230">
        <v>24054</v>
      </c>
      <c r="Z183" s="273">
        <v>10</v>
      </c>
    </row>
    <row r="184" spans="1:26" x14ac:dyDescent="0.2">
      <c r="A184" s="699"/>
      <c r="B184" s="205" t="s">
        <v>376</v>
      </c>
      <c r="C184" s="355"/>
      <c r="D184" s="375"/>
      <c r="E184" s="355"/>
      <c r="F184" s="376"/>
      <c r="G184" s="285">
        <v>2610</v>
      </c>
      <c r="H184" s="231">
        <v>8.6999999999999993</v>
      </c>
      <c r="I184" s="230">
        <v>37584</v>
      </c>
      <c r="J184" s="273">
        <v>10.4</v>
      </c>
      <c r="K184" s="285">
        <v>22933</v>
      </c>
      <c r="L184" s="231">
        <v>9.6</v>
      </c>
      <c r="M184" s="230">
        <v>43848</v>
      </c>
      <c r="N184" s="231">
        <v>12.2</v>
      </c>
      <c r="O184" s="230">
        <v>112860</v>
      </c>
      <c r="P184" s="231">
        <v>31.3</v>
      </c>
      <c r="Q184" s="230">
        <v>59926</v>
      </c>
      <c r="R184" s="231">
        <v>25</v>
      </c>
      <c r="S184" s="230">
        <v>38932</v>
      </c>
      <c r="T184" s="231">
        <v>16.2</v>
      </c>
      <c r="U184" s="230">
        <v>27518</v>
      </c>
      <c r="V184" s="231">
        <v>8.6</v>
      </c>
      <c r="W184" s="230">
        <v>82379</v>
      </c>
      <c r="X184" s="231">
        <v>22.9</v>
      </c>
      <c r="Y184" s="230">
        <v>22968</v>
      </c>
      <c r="Z184" s="273">
        <v>9.6</v>
      </c>
    </row>
    <row r="185" spans="1:26" x14ac:dyDescent="0.2">
      <c r="A185" s="699"/>
      <c r="B185" s="205" t="s">
        <v>377</v>
      </c>
      <c r="C185" s="355"/>
      <c r="D185" s="375"/>
      <c r="E185" s="355"/>
      <c r="F185" s="376"/>
      <c r="G185" s="285">
        <v>236</v>
      </c>
      <c r="H185" s="231">
        <v>0.8</v>
      </c>
      <c r="I185" s="230">
        <v>4437</v>
      </c>
      <c r="J185" s="273">
        <v>1.2</v>
      </c>
      <c r="K185" s="285">
        <v>1205</v>
      </c>
      <c r="L185" s="231">
        <v>0.5</v>
      </c>
      <c r="M185" s="230">
        <v>4977</v>
      </c>
      <c r="N185" s="231">
        <v>1.4</v>
      </c>
      <c r="O185" s="230">
        <v>6112</v>
      </c>
      <c r="P185" s="231">
        <v>1.7</v>
      </c>
      <c r="Q185" s="230">
        <v>997</v>
      </c>
      <c r="R185" s="231">
        <v>0.4</v>
      </c>
      <c r="S185" s="230">
        <v>2922</v>
      </c>
      <c r="T185" s="231">
        <v>1.2</v>
      </c>
      <c r="U185" s="230">
        <v>2507</v>
      </c>
      <c r="V185" s="231">
        <v>0.8</v>
      </c>
      <c r="W185" s="230">
        <v>7656</v>
      </c>
      <c r="X185" s="231">
        <v>2.1</v>
      </c>
      <c r="Y185" s="230">
        <v>3740</v>
      </c>
      <c r="Z185" s="273">
        <v>1.6</v>
      </c>
    </row>
    <row r="186" spans="1:26" x14ac:dyDescent="0.2">
      <c r="A186" s="699"/>
      <c r="B186" s="205" t="s">
        <v>378</v>
      </c>
      <c r="C186" s="355"/>
      <c r="D186" s="375"/>
      <c r="E186" s="355"/>
      <c r="F186" s="376"/>
      <c r="G186" s="285">
        <v>7830</v>
      </c>
      <c r="H186" s="231">
        <v>26.1</v>
      </c>
      <c r="I186" s="230">
        <v>112752</v>
      </c>
      <c r="J186" s="273">
        <v>31.3</v>
      </c>
      <c r="K186" s="285">
        <v>64500</v>
      </c>
      <c r="L186" s="231">
        <v>26.9</v>
      </c>
      <c r="M186" s="230">
        <v>112752</v>
      </c>
      <c r="N186" s="231">
        <v>31.3</v>
      </c>
      <c r="O186" s="230">
        <v>210172</v>
      </c>
      <c r="P186" s="231">
        <v>58.4</v>
      </c>
      <c r="Q186" s="230">
        <v>140160</v>
      </c>
      <c r="R186" s="231">
        <v>58.4</v>
      </c>
      <c r="S186" s="230">
        <v>140160</v>
      </c>
      <c r="T186" s="231">
        <v>58.4</v>
      </c>
      <c r="U186" s="230">
        <v>82560</v>
      </c>
      <c r="V186" s="231">
        <v>25.8</v>
      </c>
      <c r="W186" s="230">
        <v>252746</v>
      </c>
      <c r="X186" s="231">
        <v>70.2</v>
      </c>
      <c r="Y186" s="230">
        <v>68904</v>
      </c>
      <c r="Z186" s="273">
        <v>28.7</v>
      </c>
    </row>
    <row r="187" spans="1:26" x14ac:dyDescent="0.2">
      <c r="A187" s="699"/>
      <c r="B187" s="205" t="s">
        <v>379</v>
      </c>
      <c r="C187" s="355"/>
      <c r="D187" s="375"/>
      <c r="E187" s="355"/>
      <c r="F187" s="376"/>
      <c r="G187" s="285">
        <v>1566</v>
      </c>
      <c r="H187" s="231">
        <v>5.2</v>
      </c>
      <c r="I187" s="230">
        <v>124050</v>
      </c>
      <c r="J187" s="273">
        <v>34.5</v>
      </c>
      <c r="K187" s="285">
        <v>30960</v>
      </c>
      <c r="L187" s="231">
        <v>12.9</v>
      </c>
      <c r="M187" s="230">
        <v>124050</v>
      </c>
      <c r="N187" s="231">
        <v>34.5</v>
      </c>
      <c r="O187" s="230">
        <v>168192</v>
      </c>
      <c r="P187" s="231">
        <v>46.7</v>
      </c>
      <c r="Q187" s="230">
        <v>56064</v>
      </c>
      <c r="R187" s="231">
        <v>23.4</v>
      </c>
      <c r="S187" s="230">
        <v>14016</v>
      </c>
      <c r="T187" s="231">
        <v>5.8</v>
      </c>
      <c r="U187" s="230">
        <v>8256</v>
      </c>
      <c r="V187" s="231">
        <v>2.6</v>
      </c>
      <c r="W187" s="230">
        <v>13478</v>
      </c>
      <c r="X187" s="231">
        <v>3.7</v>
      </c>
      <c r="Y187" s="230">
        <v>6890</v>
      </c>
      <c r="Z187" s="273">
        <v>2.9</v>
      </c>
    </row>
    <row r="188" spans="1:26" x14ac:dyDescent="0.2">
      <c r="A188" s="699"/>
      <c r="B188" s="205" t="s">
        <v>380</v>
      </c>
      <c r="C188" s="355"/>
      <c r="D188" s="375"/>
      <c r="E188" s="377"/>
      <c r="F188" s="376"/>
      <c r="G188" s="285">
        <v>0</v>
      </c>
      <c r="H188" s="231">
        <v>0</v>
      </c>
      <c r="I188" s="230">
        <v>0</v>
      </c>
      <c r="J188" s="273">
        <v>0</v>
      </c>
      <c r="K188" s="285">
        <v>0</v>
      </c>
      <c r="L188" s="231">
        <v>0</v>
      </c>
      <c r="M188" s="230">
        <v>0</v>
      </c>
      <c r="N188" s="231">
        <v>0</v>
      </c>
      <c r="O188" s="230">
        <v>0</v>
      </c>
      <c r="P188" s="231">
        <v>0</v>
      </c>
      <c r="Q188" s="230">
        <v>0</v>
      </c>
      <c r="R188" s="231">
        <v>0</v>
      </c>
      <c r="S188" s="230">
        <v>0</v>
      </c>
      <c r="T188" s="231">
        <v>0</v>
      </c>
      <c r="U188" s="230">
        <v>0</v>
      </c>
      <c r="V188" s="231">
        <v>0</v>
      </c>
      <c r="W188" s="230">
        <v>0</v>
      </c>
      <c r="X188" s="231">
        <v>0</v>
      </c>
      <c r="Y188" s="230">
        <v>0</v>
      </c>
      <c r="Z188" s="273">
        <v>0</v>
      </c>
    </row>
    <row r="189" spans="1:26" x14ac:dyDescent="0.2">
      <c r="A189" s="699"/>
      <c r="B189" s="205" t="s">
        <v>381</v>
      </c>
      <c r="C189" s="355"/>
      <c r="D189" s="375"/>
      <c r="E189" s="377"/>
      <c r="F189" s="376"/>
      <c r="G189" s="285">
        <v>0</v>
      </c>
      <c r="H189" s="231">
        <v>0</v>
      </c>
      <c r="I189" s="230">
        <v>10894</v>
      </c>
      <c r="J189" s="273">
        <v>3</v>
      </c>
      <c r="K189" s="285">
        <v>0</v>
      </c>
      <c r="L189" s="231">
        <v>0</v>
      </c>
      <c r="M189" s="230">
        <v>12710</v>
      </c>
      <c r="N189" s="231">
        <v>3.5</v>
      </c>
      <c r="O189" s="230">
        <v>25983</v>
      </c>
      <c r="P189" s="231">
        <v>7.2</v>
      </c>
      <c r="Q189" s="230">
        <v>0</v>
      </c>
      <c r="R189" s="231">
        <v>0</v>
      </c>
      <c r="S189" s="230">
        <v>10090</v>
      </c>
      <c r="T189" s="231">
        <v>4.2</v>
      </c>
      <c r="U189" s="230">
        <v>0</v>
      </c>
      <c r="V189" s="231">
        <v>0</v>
      </c>
      <c r="W189" s="230">
        <v>26655</v>
      </c>
      <c r="X189" s="231">
        <v>7.4</v>
      </c>
      <c r="Y189" s="230">
        <v>7926</v>
      </c>
      <c r="Z189" s="273">
        <v>3.3</v>
      </c>
    </row>
    <row r="190" spans="1:26" s="20" customFormat="1" x14ac:dyDescent="0.2">
      <c r="A190" s="699"/>
      <c r="B190" s="284" t="s">
        <v>382</v>
      </c>
      <c r="C190" s="357"/>
      <c r="D190" s="378"/>
      <c r="E190" s="357"/>
      <c r="F190" s="379"/>
      <c r="G190" s="286">
        <v>42708</v>
      </c>
      <c r="H190" s="276">
        <v>142.4</v>
      </c>
      <c r="I190" s="275">
        <v>431166</v>
      </c>
      <c r="J190" s="279">
        <v>119.8</v>
      </c>
      <c r="K190" s="286">
        <v>263938</v>
      </c>
      <c r="L190" s="276">
        <v>110</v>
      </c>
      <c r="M190" s="275">
        <v>437539</v>
      </c>
      <c r="N190" s="276">
        <v>121.5</v>
      </c>
      <c r="O190" s="275">
        <v>770093</v>
      </c>
      <c r="P190" s="276">
        <v>213.9</v>
      </c>
      <c r="Q190" s="275">
        <v>438592</v>
      </c>
      <c r="R190" s="276">
        <v>182.7</v>
      </c>
      <c r="S190" s="275">
        <v>418915</v>
      </c>
      <c r="T190" s="276">
        <v>174.5</v>
      </c>
      <c r="U190" s="275">
        <v>569270</v>
      </c>
      <c r="V190" s="276">
        <v>177.9</v>
      </c>
      <c r="W190" s="275">
        <v>528854</v>
      </c>
      <c r="X190" s="276">
        <v>146.9</v>
      </c>
      <c r="Y190" s="275">
        <v>309128</v>
      </c>
      <c r="Z190" s="279">
        <v>128.80000000000001</v>
      </c>
    </row>
    <row r="191" spans="1:26" s="216" customFormat="1" x14ac:dyDescent="0.2">
      <c r="A191" s="699"/>
      <c r="B191" s="361" t="s">
        <v>574</v>
      </c>
      <c r="C191" s="353"/>
      <c r="D191" s="354"/>
      <c r="E191" s="353"/>
      <c r="F191" s="354"/>
      <c r="G191" s="353" t="s">
        <v>372</v>
      </c>
      <c r="H191" s="354" t="s">
        <v>397</v>
      </c>
      <c r="I191" s="353" t="s">
        <v>372</v>
      </c>
      <c r="J191" s="354" t="s">
        <v>397</v>
      </c>
      <c r="K191" s="353" t="s">
        <v>372</v>
      </c>
      <c r="L191" s="354" t="s">
        <v>397</v>
      </c>
      <c r="M191" s="353" t="s">
        <v>372</v>
      </c>
      <c r="N191" s="354" t="s">
        <v>397</v>
      </c>
      <c r="O191" s="353" t="s">
        <v>372</v>
      </c>
      <c r="P191" s="354" t="s">
        <v>397</v>
      </c>
      <c r="Q191" s="353" t="s">
        <v>372</v>
      </c>
      <c r="R191" s="354" t="s">
        <v>397</v>
      </c>
      <c r="S191" s="353" t="s">
        <v>372</v>
      </c>
      <c r="T191" s="354" t="s">
        <v>397</v>
      </c>
      <c r="U191" s="353" t="s">
        <v>372</v>
      </c>
      <c r="V191" s="354" t="s">
        <v>397</v>
      </c>
      <c r="W191" s="353" t="s">
        <v>372</v>
      </c>
      <c r="X191" s="354" t="s">
        <v>397</v>
      </c>
      <c r="Y191" s="353" t="s">
        <v>372</v>
      </c>
      <c r="Z191" s="354" t="s">
        <v>397</v>
      </c>
    </row>
    <row r="192" spans="1:26" x14ac:dyDescent="0.2">
      <c r="A192" s="699"/>
      <c r="B192" s="362" t="s">
        <v>373</v>
      </c>
      <c r="C192" s="355"/>
      <c r="D192" s="356"/>
      <c r="E192" s="355"/>
      <c r="F192" s="356"/>
      <c r="G192" s="355">
        <f t="shared" ref="G192:Z192" si="60">G$6-G181</f>
        <v>3586</v>
      </c>
      <c r="H192" s="356">
        <f t="shared" si="60"/>
        <v>11.900000000000006</v>
      </c>
      <c r="I192" s="355">
        <f t="shared" si="60"/>
        <v>27766</v>
      </c>
      <c r="J192" s="356">
        <f t="shared" si="60"/>
        <v>7.6999999999999957</v>
      </c>
      <c r="K192" s="355">
        <f t="shared" si="60"/>
        <v>30783</v>
      </c>
      <c r="L192" s="356">
        <f t="shared" si="60"/>
        <v>12.899999999999999</v>
      </c>
      <c r="M192" s="355">
        <f t="shared" si="60"/>
        <v>46956</v>
      </c>
      <c r="N192" s="356">
        <f t="shared" si="60"/>
        <v>13</v>
      </c>
      <c r="O192" s="355">
        <f t="shared" si="60"/>
        <v>158651</v>
      </c>
      <c r="P192" s="356">
        <f t="shared" si="60"/>
        <v>44.000000000000007</v>
      </c>
      <c r="Q192" s="355">
        <f t="shared" si="60"/>
        <v>74394</v>
      </c>
      <c r="R192" s="356">
        <f t="shared" si="60"/>
        <v>31.000000000000007</v>
      </c>
      <c r="S192" s="355">
        <f t="shared" si="60"/>
        <v>75744</v>
      </c>
      <c r="T192" s="356">
        <f t="shared" si="60"/>
        <v>31.5</v>
      </c>
      <c r="U192" s="355">
        <f t="shared" si="60"/>
        <v>13385</v>
      </c>
      <c r="V192" s="356">
        <f t="shared" si="60"/>
        <v>4.2000000000000028</v>
      </c>
      <c r="W192" s="355">
        <f t="shared" si="60"/>
        <v>108275</v>
      </c>
      <c r="X192" s="356">
        <f t="shared" si="60"/>
        <v>29.999999999999996</v>
      </c>
      <c r="Y192" s="355">
        <f t="shared" si="60"/>
        <v>46917</v>
      </c>
      <c r="Z192" s="356">
        <f t="shared" si="60"/>
        <v>19.599999999999994</v>
      </c>
    </row>
    <row r="193" spans="1:26" x14ac:dyDescent="0.2">
      <c r="A193" s="699"/>
      <c r="B193" s="362" t="s">
        <v>374</v>
      </c>
      <c r="C193" s="355"/>
      <c r="D193" s="356"/>
      <c r="E193" s="355"/>
      <c r="F193" s="356"/>
      <c r="G193" s="355">
        <f t="shared" ref="G193:Z193" si="61">G$7-G182</f>
        <v>1961</v>
      </c>
      <c r="H193" s="356">
        <f t="shared" si="61"/>
        <v>6.5</v>
      </c>
      <c r="I193" s="355">
        <f t="shared" si="61"/>
        <v>23935</v>
      </c>
      <c r="J193" s="356">
        <f t="shared" si="61"/>
        <v>6.6000000000000005</v>
      </c>
      <c r="K193" s="355">
        <f t="shared" si="61"/>
        <v>19700</v>
      </c>
      <c r="L193" s="356">
        <f t="shared" si="61"/>
        <v>8.2000000000000011</v>
      </c>
      <c r="M193" s="355">
        <f t="shared" si="61"/>
        <v>31278</v>
      </c>
      <c r="N193" s="356">
        <f t="shared" si="61"/>
        <v>8.7000000000000011</v>
      </c>
      <c r="O193" s="355">
        <f t="shared" si="61"/>
        <v>83283</v>
      </c>
      <c r="P193" s="356">
        <f t="shared" si="61"/>
        <v>23.1</v>
      </c>
      <c r="Q193" s="355">
        <f t="shared" si="61"/>
        <v>51874</v>
      </c>
      <c r="R193" s="356">
        <f t="shared" si="61"/>
        <v>21.6</v>
      </c>
      <c r="S193" s="355">
        <f t="shared" si="61"/>
        <v>28713</v>
      </c>
      <c r="T193" s="356">
        <f t="shared" si="61"/>
        <v>12</v>
      </c>
      <c r="U193" s="355">
        <f t="shared" si="61"/>
        <v>46947</v>
      </c>
      <c r="V193" s="356">
        <f t="shared" si="61"/>
        <v>14.600000000000001</v>
      </c>
      <c r="W193" s="355">
        <f t="shared" si="61"/>
        <v>50805</v>
      </c>
      <c r="X193" s="356">
        <f t="shared" si="61"/>
        <v>14.100000000000001</v>
      </c>
      <c r="Y193" s="355">
        <f t="shared" si="61"/>
        <v>15312</v>
      </c>
      <c r="Z193" s="356">
        <f t="shared" si="61"/>
        <v>6.3000000000000007</v>
      </c>
    </row>
    <row r="194" spans="1:26" x14ac:dyDescent="0.2">
      <c r="A194" s="699"/>
      <c r="B194" s="362" t="s">
        <v>375</v>
      </c>
      <c r="C194" s="355"/>
      <c r="D194" s="356"/>
      <c r="E194" s="355"/>
      <c r="F194" s="356"/>
      <c r="G194" s="355">
        <f t="shared" ref="G194:Z194" si="62">G$8-G183</f>
        <v>0</v>
      </c>
      <c r="H194" s="356">
        <f t="shared" si="62"/>
        <v>0</v>
      </c>
      <c r="I194" s="355">
        <f t="shared" si="62"/>
        <v>0</v>
      </c>
      <c r="J194" s="356">
        <f t="shared" si="62"/>
        <v>0</v>
      </c>
      <c r="K194" s="355">
        <f t="shared" si="62"/>
        <v>0</v>
      </c>
      <c r="L194" s="356">
        <f t="shared" si="62"/>
        <v>0</v>
      </c>
      <c r="M194" s="355">
        <f t="shared" si="62"/>
        <v>0</v>
      </c>
      <c r="N194" s="356">
        <f t="shared" si="62"/>
        <v>0</v>
      </c>
      <c r="O194" s="355">
        <f t="shared" si="62"/>
        <v>0</v>
      </c>
      <c r="P194" s="356">
        <f t="shared" si="62"/>
        <v>0</v>
      </c>
      <c r="Q194" s="355">
        <f t="shared" si="62"/>
        <v>0</v>
      </c>
      <c r="R194" s="356">
        <f t="shared" si="62"/>
        <v>0</v>
      </c>
      <c r="S194" s="355">
        <f t="shared" si="62"/>
        <v>0</v>
      </c>
      <c r="T194" s="356">
        <f t="shared" si="62"/>
        <v>0</v>
      </c>
      <c r="U194" s="355">
        <f t="shared" si="62"/>
        <v>0</v>
      </c>
      <c r="V194" s="356">
        <f t="shared" si="62"/>
        <v>0</v>
      </c>
      <c r="W194" s="355">
        <f t="shared" si="62"/>
        <v>0</v>
      </c>
      <c r="X194" s="356">
        <f t="shared" si="62"/>
        <v>0</v>
      </c>
      <c r="Y194" s="355">
        <f t="shared" si="62"/>
        <v>0</v>
      </c>
      <c r="Z194" s="356">
        <f t="shared" si="62"/>
        <v>0</v>
      </c>
    </row>
    <row r="195" spans="1:26" x14ac:dyDescent="0.2">
      <c r="A195" s="699"/>
      <c r="B195" s="362" t="s">
        <v>376</v>
      </c>
      <c r="C195" s="355"/>
      <c r="D195" s="356"/>
      <c r="E195" s="355"/>
      <c r="F195" s="356"/>
      <c r="G195" s="355">
        <f t="shared" ref="G195:Z195" si="63">G$9-G184</f>
        <v>5220</v>
      </c>
      <c r="H195" s="356">
        <f t="shared" si="63"/>
        <v>17.400000000000002</v>
      </c>
      <c r="I195" s="355">
        <f t="shared" si="63"/>
        <v>56390</v>
      </c>
      <c r="J195" s="356">
        <f t="shared" si="63"/>
        <v>15.700000000000001</v>
      </c>
      <c r="K195" s="355">
        <f t="shared" si="63"/>
        <v>45867</v>
      </c>
      <c r="L195" s="356">
        <f t="shared" si="63"/>
        <v>19.100000000000001</v>
      </c>
      <c r="M195" s="355">
        <f t="shared" si="63"/>
        <v>78318</v>
      </c>
      <c r="N195" s="356">
        <f t="shared" si="63"/>
        <v>21.7</v>
      </c>
      <c r="O195" s="355">
        <f t="shared" si="63"/>
        <v>179792</v>
      </c>
      <c r="P195" s="356">
        <f t="shared" si="63"/>
        <v>50</v>
      </c>
      <c r="Q195" s="355">
        <f t="shared" si="63"/>
        <v>111672</v>
      </c>
      <c r="R195" s="356">
        <f t="shared" si="63"/>
        <v>46.5</v>
      </c>
      <c r="S195" s="355">
        <f t="shared" si="63"/>
        <v>77868</v>
      </c>
      <c r="T195" s="356">
        <f t="shared" si="63"/>
        <v>32.5</v>
      </c>
      <c r="U195" s="355">
        <f t="shared" si="63"/>
        <v>55042</v>
      </c>
      <c r="V195" s="356">
        <f t="shared" si="63"/>
        <v>17.200000000000003</v>
      </c>
      <c r="W195" s="355">
        <f t="shared" si="63"/>
        <v>142309</v>
      </c>
      <c r="X195" s="356">
        <f t="shared" si="63"/>
        <v>39.5</v>
      </c>
      <c r="Y195" s="355">
        <f t="shared" si="63"/>
        <v>45936</v>
      </c>
      <c r="Z195" s="356">
        <f t="shared" si="63"/>
        <v>19.100000000000001</v>
      </c>
    </row>
    <row r="196" spans="1:26" x14ac:dyDescent="0.2">
      <c r="A196" s="699"/>
      <c r="B196" s="362" t="s">
        <v>377</v>
      </c>
      <c r="C196" s="355"/>
      <c r="D196" s="356"/>
      <c r="E196" s="355"/>
      <c r="F196" s="356"/>
      <c r="G196" s="355">
        <f t="shared" ref="G196:Z196" si="64">G$10-G185</f>
        <v>85</v>
      </c>
      <c r="H196" s="356">
        <f t="shared" si="64"/>
        <v>0.30000000000000004</v>
      </c>
      <c r="I196" s="355">
        <f t="shared" si="64"/>
        <v>3004</v>
      </c>
      <c r="J196" s="356">
        <f t="shared" si="64"/>
        <v>0.90000000000000013</v>
      </c>
      <c r="K196" s="355">
        <f t="shared" si="64"/>
        <v>914</v>
      </c>
      <c r="L196" s="356">
        <f t="shared" si="64"/>
        <v>0.4</v>
      </c>
      <c r="M196" s="355">
        <f t="shared" si="64"/>
        <v>3621</v>
      </c>
      <c r="N196" s="356">
        <f t="shared" si="64"/>
        <v>1</v>
      </c>
      <c r="O196" s="355">
        <f t="shared" si="64"/>
        <v>4369</v>
      </c>
      <c r="P196" s="356">
        <f t="shared" si="64"/>
        <v>1.2</v>
      </c>
      <c r="Q196" s="355">
        <f t="shared" si="64"/>
        <v>881</v>
      </c>
      <c r="R196" s="356">
        <f t="shared" si="64"/>
        <v>0.4</v>
      </c>
      <c r="S196" s="355">
        <f t="shared" si="64"/>
        <v>2414</v>
      </c>
      <c r="T196" s="356">
        <f t="shared" si="64"/>
        <v>1.0000000000000002</v>
      </c>
      <c r="U196" s="355">
        <f t="shared" si="64"/>
        <v>755</v>
      </c>
      <c r="V196" s="356">
        <f t="shared" si="64"/>
        <v>0.19999999999999996</v>
      </c>
      <c r="W196" s="355">
        <f t="shared" si="64"/>
        <v>4291</v>
      </c>
      <c r="X196" s="356">
        <f t="shared" si="64"/>
        <v>1.1999999999999997</v>
      </c>
      <c r="Y196" s="355">
        <f t="shared" si="64"/>
        <v>2548</v>
      </c>
      <c r="Z196" s="356">
        <f t="shared" si="64"/>
        <v>1</v>
      </c>
    </row>
    <row r="197" spans="1:26" x14ac:dyDescent="0.2">
      <c r="A197" s="699"/>
      <c r="B197" s="362" t="s">
        <v>378</v>
      </c>
      <c r="C197" s="355"/>
      <c r="D197" s="356"/>
      <c r="E197" s="355"/>
      <c r="F197" s="356"/>
      <c r="G197" s="355">
        <f t="shared" ref="G197:Z197" si="65">G$11-G186</f>
        <v>0</v>
      </c>
      <c r="H197" s="356">
        <f t="shared" si="65"/>
        <v>0</v>
      </c>
      <c r="I197" s="355">
        <f t="shared" si="65"/>
        <v>0</v>
      </c>
      <c r="J197" s="356">
        <f t="shared" si="65"/>
        <v>0</v>
      </c>
      <c r="K197" s="355">
        <f t="shared" si="65"/>
        <v>0</v>
      </c>
      <c r="L197" s="356">
        <f t="shared" si="65"/>
        <v>0</v>
      </c>
      <c r="M197" s="355">
        <f t="shared" si="65"/>
        <v>0</v>
      </c>
      <c r="N197" s="356">
        <f t="shared" si="65"/>
        <v>0</v>
      </c>
      <c r="O197" s="355">
        <f t="shared" si="65"/>
        <v>0</v>
      </c>
      <c r="P197" s="356">
        <f t="shared" si="65"/>
        <v>0</v>
      </c>
      <c r="Q197" s="355">
        <f t="shared" si="65"/>
        <v>0</v>
      </c>
      <c r="R197" s="356">
        <f t="shared" si="65"/>
        <v>0</v>
      </c>
      <c r="S197" s="355">
        <f t="shared" si="65"/>
        <v>0</v>
      </c>
      <c r="T197" s="356">
        <f t="shared" si="65"/>
        <v>0</v>
      </c>
      <c r="U197" s="355">
        <f t="shared" si="65"/>
        <v>0</v>
      </c>
      <c r="V197" s="356">
        <f t="shared" si="65"/>
        <v>0</v>
      </c>
      <c r="W197" s="355">
        <f t="shared" si="65"/>
        <v>0</v>
      </c>
      <c r="X197" s="356">
        <f t="shared" si="65"/>
        <v>0</v>
      </c>
      <c r="Y197" s="355">
        <f t="shared" si="65"/>
        <v>0</v>
      </c>
      <c r="Z197" s="356">
        <f t="shared" si="65"/>
        <v>0</v>
      </c>
    </row>
    <row r="198" spans="1:26" x14ac:dyDescent="0.2">
      <c r="A198" s="699"/>
      <c r="B198" s="362" t="s">
        <v>379</v>
      </c>
      <c r="C198" s="355"/>
      <c r="D198" s="356"/>
      <c r="E198" s="355"/>
      <c r="F198" s="356"/>
      <c r="G198" s="355">
        <f t="shared" ref="G198:Z198" si="66">G$12-G187</f>
        <v>0</v>
      </c>
      <c r="H198" s="356">
        <f t="shared" si="66"/>
        <v>0</v>
      </c>
      <c r="I198" s="355">
        <f t="shared" si="66"/>
        <v>0</v>
      </c>
      <c r="J198" s="356">
        <f t="shared" si="66"/>
        <v>0</v>
      </c>
      <c r="K198" s="355">
        <f t="shared" si="66"/>
        <v>0</v>
      </c>
      <c r="L198" s="356">
        <f t="shared" si="66"/>
        <v>0</v>
      </c>
      <c r="M198" s="355">
        <f t="shared" si="66"/>
        <v>0</v>
      </c>
      <c r="N198" s="356">
        <f t="shared" si="66"/>
        <v>0</v>
      </c>
      <c r="O198" s="355">
        <f t="shared" si="66"/>
        <v>0</v>
      </c>
      <c r="P198" s="356">
        <f t="shared" si="66"/>
        <v>0</v>
      </c>
      <c r="Q198" s="355">
        <f t="shared" si="66"/>
        <v>0</v>
      </c>
      <c r="R198" s="356">
        <f t="shared" si="66"/>
        <v>0</v>
      </c>
      <c r="S198" s="355">
        <f t="shared" si="66"/>
        <v>0</v>
      </c>
      <c r="T198" s="356">
        <f t="shared" si="66"/>
        <v>0</v>
      </c>
      <c r="U198" s="355">
        <f t="shared" si="66"/>
        <v>0</v>
      </c>
      <c r="V198" s="356">
        <f t="shared" si="66"/>
        <v>0</v>
      </c>
      <c r="W198" s="355">
        <f t="shared" si="66"/>
        <v>0</v>
      </c>
      <c r="X198" s="356">
        <f t="shared" si="66"/>
        <v>0</v>
      </c>
      <c r="Y198" s="355">
        <f t="shared" si="66"/>
        <v>0</v>
      </c>
      <c r="Z198" s="356">
        <f t="shared" si="66"/>
        <v>0</v>
      </c>
    </row>
    <row r="199" spans="1:26" x14ac:dyDescent="0.2">
      <c r="A199" s="699"/>
      <c r="B199" s="362" t="s">
        <v>380</v>
      </c>
      <c r="C199" s="355"/>
      <c r="D199" s="356"/>
      <c r="E199" s="355"/>
      <c r="F199" s="356"/>
      <c r="G199" s="355">
        <f t="shared" ref="G199:Z199" si="67">G$13-G188</f>
        <v>0</v>
      </c>
      <c r="H199" s="356">
        <f t="shared" si="67"/>
        <v>0</v>
      </c>
      <c r="I199" s="355">
        <f t="shared" si="67"/>
        <v>0</v>
      </c>
      <c r="J199" s="356">
        <f t="shared" si="67"/>
        <v>0</v>
      </c>
      <c r="K199" s="355">
        <f t="shared" si="67"/>
        <v>0</v>
      </c>
      <c r="L199" s="356">
        <f t="shared" si="67"/>
        <v>0</v>
      </c>
      <c r="M199" s="355">
        <f t="shared" si="67"/>
        <v>0</v>
      </c>
      <c r="N199" s="356">
        <f t="shared" si="67"/>
        <v>0</v>
      </c>
      <c r="O199" s="355">
        <f t="shared" si="67"/>
        <v>0</v>
      </c>
      <c r="P199" s="356">
        <f t="shared" si="67"/>
        <v>0</v>
      </c>
      <c r="Q199" s="355">
        <f t="shared" si="67"/>
        <v>0</v>
      </c>
      <c r="R199" s="356">
        <f t="shared" si="67"/>
        <v>0</v>
      </c>
      <c r="S199" s="355">
        <f t="shared" si="67"/>
        <v>0</v>
      </c>
      <c r="T199" s="356">
        <f t="shared" si="67"/>
        <v>0</v>
      </c>
      <c r="U199" s="355">
        <f t="shared" si="67"/>
        <v>0</v>
      </c>
      <c r="V199" s="356">
        <f t="shared" si="67"/>
        <v>0</v>
      </c>
      <c r="W199" s="355">
        <f t="shared" si="67"/>
        <v>0</v>
      </c>
      <c r="X199" s="356">
        <f t="shared" si="67"/>
        <v>0</v>
      </c>
      <c r="Y199" s="355">
        <f t="shared" si="67"/>
        <v>0</v>
      </c>
      <c r="Z199" s="356">
        <f t="shared" si="67"/>
        <v>0</v>
      </c>
    </row>
    <row r="200" spans="1:26" x14ac:dyDescent="0.2">
      <c r="A200" s="699"/>
      <c r="B200" s="362" t="s">
        <v>381</v>
      </c>
      <c r="C200" s="355"/>
      <c r="D200" s="356"/>
      <c r="E200" s="355"/>
      <c r="F200" s="356"/>
      <c r="G200" s="355">
        <f t="shared" ref="G200:Z200" si="68">G$14-G189</f>
        <v>0</v>
      </c>
      <c r="H200" s="356">
        <f t="shared" si="68"/>
        <v>0</v>
      </c>
      <c r="I200" s="355">
        <f t="shared" si="68"/>
        <v>9341</v>
      </c>
      <c r="J200" s="356">
        <f t="shared" si="68"/>
        <v>2.5999999999999996</v>
      </c>
      <c r="K200" s="355">
        <f t="shared" si="68"/>
        <v>0</v>
      </c>
      <c r="L200" s="356">
        <f t="shared" si="68"/>
        <v>0</v>
      </c>
      <c r="M200" s="355">
        <f t="shared" si="68"/>
        <v>13307</v>
      </c>
      <c r="N200" s="356">
        <f t="shared" si="68"/>
        <v>3.7</v>
      </c>
      <c r="O200" s="355">
        <f t="shared" si="68"/>
        <v>25530</v>
      </c>
      <c r="P200" s="356">
        <f t="shared" si="68"/>
        <v>7.1000000000000005</v>
      </c>
      <c r="Q200" s="355">
        <f t="shared" si="68"/>
        <v>0</v>
      </c>
      <c r="R200" s="356">
        <f t="shared" si="68"/>
        <v>0</v>
      </c>
      <c r="S200" s="355">
        <f t="shared" si="68"/>
        <v>12710</v>
      </c>
      <c r="T200" s="356">
        <f t="shared" si="68"/>
        <v>5.3</v>
      </c>
      <c r="U200" s="355">
        <f t="shared" si="68"/>
        <v>0</v>
      </c>
      <c r="V200" s="356">
        <f t="shared" si="68"/>
        <v>0</v>
      </c>
      <c r="W200" s="355">
        <f t="shared" si="68"/>
        <v>26564</v>
      </c>
      <c r="X200" s="356">
        <f t="shared" si="68"/>
        <v>7.4</v>
      </c>
      <c r="Y200" s="355">
        <f t="shared" si="68"/>
        <v>9664</v>
      </c>
      <c r="Z200" s="356">
        <f t="shared" si="68"/>
        <v>4</v>
      </c>
    </row>
    <row r="201" spans="1:26" s="20" customFormat="1" x14ac:dyDescent="0.2">
      <c r="A201" s="699"/>
      <c r="B201" s="363" t="s">
        <v>382</v>
      </c>
      <c r="C201" s="357"/>
      <c r="D201" s="358"/>
      <c r="E201" s="357"/>
      <c r="F201" s="358"/>
      <c r="G201" s="357">
        <f t="shared" ref="G201:Z201" si="69">G$15-G190</f>
        <v>10852</v>
      </c>
      <c r="H201" s="358">
        <f t="shared" si="69"/>
        <v>36.099999999999994</v>
      </c>
      <c r="I201" s="357">
        <f t="shared" si="69"/>
        <v>120435</v>
      </c>
      <c r="J201" s="358">
        <f t="shared" si="69"/>
        <v>33.399999999999991</v>
      </c>
      <c r="K201" s="357">
        <f t="shared" si="69"/>
        <v>97265</v>
      </c>
      <c r="L201" s="358">
        <f t="shared" si="69"/>
        <v>40.5</v>
      </c>
      <c r="M201" s="357">
        <f t="shared" si="69"/>
        <v>173481</v>
      </c>
      <c r="N201" s="358">
        <f t="shared" si="69"/>
        <v>48.199999999999989</v>
      </c>
      <c r="O201" s="357">
        <f t="shared" si="69"/>
        <v>451624</v>
      </c>
      <c r="P201" s="358">
        <f t="shared" si="69"/>
        <v>125.49999999999997</v>
      </c>
      <c r="Q201" s="357">
        <f t="shared" si="69"/>
        <v>238820</v>
      </c>
      <c r="R201" s="358">
        <f t="shared" si="69"/>
        <v>99.600000000000023</v>
      </c>
      <c r="S201" s="357">
        <f t="shared" si="69"/>
        <v>197450</v>
      </c>
      <c r="T201" s="358">
        <f t="shared" si="69"/>
        <v>82.300000000000011</v>
      </c>
      <c r="U201" s="357">
        <f t="shared" si="69"/>
        <v>116130</v>
      </c>
      <c r="V201" s="358">
        <f t="shared" si="69"/>
        <v>36.299999999999983</v>
      </c>
      <c r="W201" s="357">
        <f t="shared" si="69"/>
        <v>332245</v>
      </c>
      <c r="X201" s="358">
        <f t="shared" si="69"/>
        <v>92.299999999999983</v>
      </c>
      <c r="Y201" s="357">
        <f t="shared" si="69"/>
        <v>120377</v>
      </c>
      <c r="Z201" s="358">
        <f t="shared" si="69"/>
        <v>50.199999999999989</v>
      </c>
    </row>
    <row r="202" spans="1:26" s="216" customFormat="1" x14ac:dyDescent="0.2">
      <c r="A202" s="699"/>
      <c r="B202" s="364" t="s">
        <v>491</v>
      </c>
      <c r="C202" s="353"/>
      <c r="D202" s="354"/>
      <c r="E202" s="380"/>
      <c r="F202" s="354"/>
      <c r="G202" s="289" t="s">
        <v>372</v>
      </c>
      <c r="H202" s="291" t="s">
        <v>397</v>
      </c>
      <c r="I202" s="289" t="s">
        <v>372</v>
      </c>
      <c r="J202" s="291" t="s">
        <v>397</v>
      </c>
      <c r="K202" s="289" t="s">
        <v>372</v>
      </c>
      <c r="L202" s="291" t="s">
        <v>397</v>
      </c>
      <c r="M202" s="289" t="s">
        <v>372</v>
      </c>
      <c r="N202" s="291" t="s">
        <v>397</v>
      </c>
      <c r="O202" s="289" t="s">
        <v>372</v>
      </c>
      <c r="P202" s="291" t="s">
        <v>397</v>
      </c>
      <c r="Q202" s="289" t="s">
        <v>372</v>
      </c>
      <c r="R202" s="291" t="s">
        <v>397</v>
      </c>
      <c r="S202" s="289" t="s">
        <v>372</v>
      </c>
      <c r="T202" s="291" t="s">
        <v>397</v>
      </c>
      <c r="U202" s="289" t="s">
        <v>372</v>
      </c>
      <c r="V202" s="291" t="s">
        <v>397</v>
      </c>
      <c r="W202" s="289" t="s">
        <v>372</v>
      </c>
      <c r="X202" s="291" t="s">
        <v>397</v>
      </c>
      <c r="Y202" s="289" t="s">
        <v>372</v>
      </c>
      <c r="Z202" s="291" t="s">
        <v>397</v>
      </c>
    </row>
    <row r="203" spans="1:26" x14ac:dyDescent="0.2">
      <c r="A203" s="699"/>
      <c r="B203" s="205" t="s">
        <v>373</v>
      </c>
      <c r="C203" s="355"/>
      <c r="D203" s="356"/>
      <c r="E203" s="355"/>
      <c r="F203" s="356"/>
      <c r="G203" s="230">
        <f t="shared" ref="G203:Z212" si="70">G192-G139-G164</f>
        <v>3590</v>
      </c>
      <c r="H203" s="293">
        <f t="shared" si="70"/>
        <v>11.900000000000006</v>
      </c>
      <c r="I203" s="230">
        <f t="shared" si="70"/>
        <v>27766</v>
      </c>
      <c r="J203" s="293">
        <f t="shared" si="70"/>
        <v>7.6999999999999957</v>
      </c>
      <c r="K203" s="230">
        <f t="shared" si="70"/>
        <v>30795</v>
      </c>
      <c r="L203" s="293">
        <f t="shared" si="70"/>
        <v>12.899999999999999</v>
      </c>
      <c r="M203" s="230">
        <f t="shared" si="70"/>
        <v>46958</v>
      </c>
      <c r="N203" s="293">
        <f t="shared" si="70"/>
        <v>13</v>
      </c>
      <c r="O203" s="230">
        <f t="shared" si="70"/>
        <v>158652</v>
      </c>
      <c r="P203" s="293">
        <f t="shared" si="70"/>
        <v>44.000000000000007</v>
      </c>
      <c r="Q203" s="230">
        <f t="shared" si="70"/>
        <v>74486</v>
      </c>
      <c r="R203" s="293">
        <f t="shared" si="70"/>
        <v>31.000000000000007</v>
      </c>
      <c r="S203" s="230">
        <f t="shared" si="70"/>
        <v>75744</v>
      </c>
      <c r="T203" s="293">
        <f t="shared" si="70"/>
        <v>31.5</v>
      </c>
      <c r="U203" s="230">
        <f t="shared" si="70"/>
        <v>13407</v>
      </c>
      <c r="V203" s="293">
        <f t="shared" si="70"/>
        <v>4.2000000000000028</v>
      </c>
      <c r="W203" s="230">
        <f t="shared" si="70"/>
        <v>108281</v>
      </c>
      <c r="X203" s="293">
        <f t="shared" si="70"/>
        <v>30.099999999999998</v>
      </c>
      <c r="Y203" s="230">
        <f t="shared" si="70"/>
        <v>46918</v>
      </c>
      <c r="Z203" s="293">
        <f t="shared" si="70"/>
        <v>19.599999999999994</v>
      </c>
    </row>
    <row r="204" spans="1:26" x14ac:dyDescent="0.2">
      <c r="A204" s="699"/>
      <c r="B204" s="205" t="s">
        <v>374</v>
      </c>
      <c r="C204" s="355"/>
      <c r="D204" s="356"/>
      <c r="E204" s="355"/>
      <c r="F204" s="356"/>
      <c r="G204" s="230">
        <f t="shared" si="70"/>
        <v>542</v>
      </c>
      <c r="H204" s="293">
        <f t="shared" si="70"/>
        <v>1.8000000000000007</v>
      </c>
      <c r="I204" s="230">
        <f t="shared" si="70"/>
        <v>6394</v>
      </c>
      <c r="J204" s="293">
        <f t="shared" si="70"/>
        <v>1.8000000000000007</v>
      </c>
      <c r="K204" s="230">
        <f t="shared" si="70"/>
        <v>5523</v>
      </c>
      <c r="L204" s="293">
        <f t="shared" si="70"/>
        <v>2.2999999999999998</v>
      </c>
      <c r="M204" s="230">
        <f t="shared" si="70"/>
        <v>8409</v>
      </c>
      <c r="N204" s="293">
        <f t="shared" si="70"/>
        <v>2.3000000000000007</v>
      </c>
      <c r="O204" s="230">
        <f t="shared" si="70"/>
        <v>23534</v>
      </c>
      <c r="P204" s="293">
        <f t="shared" si="70"/>
        <v>6.6000000000000014</v>
      </c>
      <c r="Q204" s="230">
        <f t="shared" si="70"/>
        <v>15046</v>
      </c>
      <c r="R204" s="293">
        <f t="shared" si="70"/>
        <v>6.1999999999999993</v>
      </c>
      <c r="S204" s="230">
        <f t="shared" si="70"/>
        <v>7970</v>
      </c>
      <c r="T204" s="293">
        <f t="shared" si="70"/>
        <v>3.3000000000000007</v>
      </c>
      <c r="U204" s="230">
        <f t="shared" si="70"/>
        <v>20637</v>
      </c>
      <c r="V204" s="293">
        <f t="shared" si="70"/>
        <v>6.5</v>
      </c>
      <c r="W204" s="230">
        <f t="shared" si="70"/>
        <v>14270</v>
      </c>
      <c r="X204" s="293">
        <f t="shared" si="70"/>
        <v>3.8000000000000007</v>
      </c>
      <c r="Y204" s="230">
        <f t="shared" si="70"/>
        <v>4300</v>
      </c>
      <c r="Z204" s="293">
        <f t="shared" si="70"/>
        <v>1.7999999999999998</v>
      </c>
    </row>
    <row r="205" spans="1:26" x14ac:dyDescent="0.2">
      <c r="A205" s="699"/>
      <c r="B205" s="205" t="s">
        <v>375</v>
      </c>
      <c r="C205" s="355"/>
      <c r="D205" s="356"/>
      <c r="E205" s="355"/>
      <c r="F205" s="356"/>
      <c r="G205" s="230">
        <f t="shared" si="70"/>
        <v>0</v>
      </c>
      <c r="H205" s="293">
        <f t="shared" si="70"/>
        <v>0</v>
      </c>
      <c r="I205" s="230">
        <f t="shared" si="70"/>
        <v>0</v>
      </c>
      <c r="J205" s="293">
        <f t="shared" si="70"/>
        <v>0</v>
      </c>
      <c r="K205" s="230">
        <f t="shared" si="70"/>
        <v>0</v>
      </c>
      <c r="L205" s="293">
        <f t="shared" si="70"/>
        <v>0</v>
      </c>
      <c r="M205" s="230">
        <f t="shared" si="70"/>
        <v>0</v>
      </c>
      <c r="N205" s="293">
        <f t="shared" si="70"/>
        <v>0</v>
      </c>
      <c r="O205" s="230">
        <f t="shared" si="70"/>
        <v>0</v>
      </c>
      <c r="P205" s="293">
        <f t="shared" si="70"/>
        <v>0</v>
      </c>
      <c r="Q205" s="230">
        <f t="shared" si="70"/>
        <v>0</v>
      </c>
      <c r="R205" s="293">
        <f t="shared" si="70"/>
        <v>0</v>
      </c>
      <c r="S205" s="230">
        <f t="shared" si="70"/>
        <v>0</v>
      </c>
      <c r="T205" s="293">
        <f t="shared" si="70"/>
        <v>0</v>
      </c>
      <c r="U205" s="230">
        <f t="shared" si="70"/>
        <v>0</v>
      </c>
      <c r="V205" s="293">
        <f t="shared" si="70"/>
        <v>0</v>
      </c>
      <c r="W205" s="230">
        <f t="shared" si="70"/>
        <v>0</v>
      </c>
      <c r="X205" s="293">
        <f t="shared" si="70"/>
        <v>0</v>
      </c>
      <c r="Y205" s="230">
        <f t="shared" si="70"/>
        <v>0</v>
      </c>
      <c r="Z205" s="293">
        <f t="shared" si="70"/>
        <v>0</v>
      </c>
    </row>
    <row r="206" spans="1:26" x14ac:dyDescent="0.2">
      <c r="A206" s="699"/>
      <c r="B206" s="205" t="s">
        <v>376</v>
      </c>
      <c r="C206" s="355"/>
      <c r="D206" s="356"/>
      <c r="E206" s="355"/>
      <c r="F206" s="356"/>
      <c r="G206" s="230">
        <f t="shared" si="70"/>
        <v>3393</v>
      </c>
      <c r="H206" s="293">
        <f t="shared" si="70"/>
        <v>11.3</v>
      </c>
      <c r="I206" s="230">
        <f t="shared" si="70"/>
        <v>34465</v>
      </c>
      <c r="J206" s="293">
        <f t="shared" si="70"/>
        <v>9.6</v>
      </c>
      <c r="K206" s="230">
        <f t="shared" si="70"/>
        <v>29811</v>
      </c>
      <c r="L206" s="293">
        <f t="shared" si="70"/>
        <v>12.400000000000002</v>
      </c>
      <c r="M206" s="230">
        <f t="shared" si="70"/>
        <v>49795</v>
      </c>
      <c r="N206" s="293">
        <f t="shared" si="70"/>
        <v>13.8</v>
      </c>
      <c r="O206" s="230">
        <f t="shared" si="70"/>
        <v>111528</v>
      </c>
      <c r="P206" s="293">
        <f t="shared" si="70"/>
        <v>31</v>
      </c>
      <c r="Q206" s="230">
        <f t="shared" si="70"/>
        <v>71628</v>
      </c>
      <c r="R206" s="293">
        <f t="shared" si="70"/>
        <v>29.799999999999997</v>
      </c>
      <c r="S206" s="230">
        <f t="shared" si="70"/>
        <v>50598</v>
      </c>
      <c r="T206" s="293">
        <f t="shared" si="70"/>
        <v>21.099999999999994</v>
      </c>
      <c r="U206" s="230">
        <f t="shared" si="70"/>
        <v>35773</v>
      </c>
      <c r="V206" s="293">
        <f t="shared" si="70"/>
        <v>11.200000000000003</v>
      </c>
      <c r="W206" s="230">
        <f t="shared" si="70"/>
        <v>89882</v>
      </c>
      <c r="X206" s="293">
        <f t="shared" si="70"/>
        <v>25</v>
      </c>
      <c r="Y206" s="230">
        <f t="shared" si="70"/>
        <v>29858</v>
      </c>
      <c r="Z206" s="293">
        <f t="shared" si="70"/>
        <v>12.400000000000002</v>
      </c>
    </row>
    <row r="207" spans="1:26" x14ac:dyDescent="0.2">
      <c r="A207" s="699"/>
      <c r="B207" s="205" t="s">
        <v>377</v>
      </c>
      <c r="C207" s="355"/>
      <c r="D207" s="356"/>
      <c r="E207" s="355"/>
      <c r="F207" s="356"/>
      <c r="G207" s="230">
        <f t="shared" si="70"/>
        <v>58</v>
      </c>
      <c r="H207" s="293">
        <f t="shared" si="70"/>
        <v>0.19999999999999996</v>
      </c>
      <c r="I207" s="230">
        <f t="shared" si="70"/>
        <v>2718</v>
      </c>
      <c r="J207" s="293">
        <f t="shared" si="70"/>
        <v>0.8</v>
      </c>
      <c r="K207" s="230">
        <f t="shared" si="70"/>
        <v>622</v>
      </c>
      <c r="L207" s="293">
        <f t="shared" si="70"/>
        <v>0.19999999999999996</v>
      </c>
      <c r="M207" s="230">
        <f t="shared" si="70"/>
        <v>3326</v>
      </c>
      <c r="N207" s="293">
        <f t="shared" si="70"/>
        <v>0.89999999999999991</v>
      </c>
      <c r="O207" s="230">
        <f t="shared" si="70"/>
        <v>3909</v>
      </c>
      <c r="P207" s="293">
        <f t="shared" si="70"/>
        <v>1.0999999999999999</v>
      </c>
      <c r="Q207" s="230">
        <f t="shared" si="70"/>
        <v>627</v>
      </c>
      <c r="R207" s="293">
        <f t="shared" si="70"/>
        <v>0.29999999999999993</v>
      </c>
      <c r="S207" s="230">
        <f t="shared" si="70"/>
        <v>2145</v>
      </c>
      <c r="T207" s="293">
        <f t="shared" si="70"/>
        <v>0.90000000000000013</v>
      </c>
      <c r="U207" s="230">
        <f t="shared" si="70"/>
        <v>489</v>
      </c>
      <c r="V207" s="293">
        <f t="shared" si="70"/>
        <v>9.9999999999999978E-2</v>
      </c>
      <c r="W207" s="230">
        <f t="shared" si="70"/>
        <v>3729</v>
      </c>
      <c r="X207" s="293">
        <f t="shared" si="70"/>
        <v>1</v>
      </c>
      <c r="Y207" s="230">
        <f t="shared" si="70"/>
        <v>2324</v>
      </c>
      <c r="Z207" s="293">
        <f t="shared" si="70"/>
        <v>0.89999999999999991</v>
      </c>
    </row>
    <row r="208" spans="1:26" x14ac:dyDescent="0.2">
      <c r="A208" s="699"/>
      <c r="B208" s="205" t="s">
        <v>378</v>
      </c>
      <c r="C208" s="355"/>
      <c r="D208" s="356"/>
      <c r="E208" s="355"/>
      <c r="F208" s="356"/>
      <c r="G208" s="230">
        <f t="shared" si="70"/>
        <v>0</v>
      </c>
      <c r="H208" s="293">
        <f t="shared" si="70"/>
        <v>0</v>
      </c>
      <c r="I208" s="230">
        <f t="shared" si="70"/>
        <v>0</v>
      </c>
      <c r="J208" s="293">
        <f t="shared" si="70"/>
        <v>0</v>
      </c>
      <c r="K208" s="230">
        <f t="shared" si="70"/>
        <v>0</v>
      </c>
      <c r="L208" s="293">
        <f t="shared" si="70"/>
        <v>0</v>
      </c>
      <c r="M208" s="230">
        <f t="shared" si="70"/>
        <v>0</v>
      </c>
      <c r="N208" s="293">
        <f t="shared" si="70"/>
        <v>0</v>
      </c>
      <c r="O208" s="230">
        <f t="shared" si="70"/>
        <v>0</v>
      </c>
      <c r="P208" s="293">
        <f t="shared" si="70"/>
        <v>0</v>
      </c>
      <c r="Q208" s="230">
        <f t="shared" si="70"/>
        <v>0</v>
      </c>
      <c r="R208" s="293">
        <f t="shared" si="70"/>
        <v>0</v>
      </c>
      <c r="S208" s="230">
        <f t="shared" si="70"/>
        <v>0</v>
      </c>
      <c r="T208" s="293">
        <f t="shared" si="70"/>
        <v>0</v>
      </c>
      <c r="U208" s="230">
        <f t="shared" si="70"/>
        <v>0</v>
      </c>
      <c r="V208" s="293">
        <f t="shared" si="70"/>
        <v>0</v>
      </c>
      <c r="W208" s="230">
        <f t="shared" si="70"/>
        <v>0</v>
      </c>
      <c r="X208" s="293">
        <f t="shared" si="70"/>
        <v>0</v>
      </c>
      <c r="Y208" s="230">
        <f t="shared" si="70"/>
        <v>0</v>
      </c>
      <c r="Z208" s="293">
        <f t="shared" si="70"/>
        <v>0</v>
      </c>
    </row>
    <row r="209" spans="1:26" x14ac:dyDescent="0.2">
      <c r="A209" s="699"/>
      <c r="B209" s="205" t="s">
        <v>379</v>
      </c>
      <c r="C209" s="355"/>
      <c r="D209" s="356"/>
      <c r="E209" s="355"/>
      <c r="F209" s="356"/>
      <c r="G209" s="230">
        <f t="shared" si="70"/>
        <v>0</v>
      </c>
      <c r="H209" s="293">
        <f t="shared" si="70"/>
        <v>0</v>
      </c>
      <c r="I209" s="230">
        <f t="shared" si="70"/>
        <v>0</v>
      </c>
      <c r="J209" s="293">
        <f t="shared" si="70"/>
        <v>0</v>
      </c>
      <c r="K209" s="230">
        <f t="shared" si="70"/>
        <v>0</v>
      </c>
      <c r="L209" s="293">
        <f t="shared" si="70"/>
        <v>0</v>
      </c>
      <c r="M209" s="230">
        <f t="shared" si="70"/>
        <v>0</v>
      </c>
      <c r="N209" s="293">
        <f t="shared" si="70"/>
        <v>0</v>
      </c>
      <c r="O209" s="230">
        <f t="shared" si="70"/>
        <v>0</v>
      </c>
      <c r="P209" s="293">
        <f t="shared" si="70"/>
        <v>0</v>
      </c>
      <c r="Q209" s="230">
        <f t="shared" si="70"/>
        <v>0</v>
      </c>
      <c r="R209" s="293">
        <f t="shared" si="70"/>
        <v>0</v>
      </c>
      <c r="S209" s="230">
        <f t="shared" si="70"/>
        <v>0</v>
      </c>
      <c r="T209" s="293">
        <f t="shared" si="70"/>
        <v>0</v>
      </c>
      <c r="U209" s="230">
        <f t="shared" si="70"/>
        <v>0</v>
      </c>
      <c r="V209" s="293">
        <f t="shared" si="70"/>
        <v>0</v>
      </c>
      <c r="W209" s="230">
        <f t="shared" si="70"/>
        <v>0</v>
      </c>
      <c r="X209" s="293">
        <f t="shared" si="70"/>
        <v>0</v>
      </c>
      <c r="Y209" s="230">
        <f t="shared" si="70"/>
        <v>0</v>
      </c>
      <c r="Z209" s="293">
        <f t="shared" si="70"/>
        <v>0</v>
      </c>
    </row>
    <row r="210" spans="1:26" x14ac:dyDescent="0.2">
      <c r="A210" s="699"/>
      <c r="B210" s="205" t="s">
        <v>380</v>
      </c>
      <c r="C210" s="355"/>
      <c r="D210" s="356"/>
      <c r="E210" s="355"/>
      <c r="F210" s="356"/>
      <c r="G210" s="230">
        <f t="shared" si="70"/>
        <v>0</v>
      </c>
      <c r="H210" s="293">
        <f t="shared" si="70"/>
        <v>0</v>
      </c>
      <c r="I210" s="230">
        <f t="shared" si="70"/>
        <v>0</v>
      </c>
      <c r="J210" s="293">
        <f t="shared" si="70"/>
        <v>0</v>
      </c>
      <c r="K210" s="230">
        <f t="shared" si="70"/>
        <v>0</v>
      </c>
      <c r="L210" s="293">
        <f t="shared" si="70"/>
        <v>0</v>
      </c>
      <c r="M210" s="230">
        <f t="shared" si="70"/>
        <v>0</v>
      </c>
      <c r="N210" s="293">
        <f t="shared" si="70"/>
        <v>0</v>
      </c>
      <c r="O210" s="230">
        <f t="shared" si="70"/>
        <v>0</v>
      </c>
      <c r="P210" s="293">
        <f t="shared" si="70"/>
        <v>0</v>
      </c>
      <c r="Q210" s="230">
        <f t="shared" si="70"/>
        <v>0</v>
      </c>
      <c r="R210" s="293">
        <f t="shared" si="70"/>
        <v>0</v>
      </c>
      <c r="S210" s="230">
        <f t="shared" si="70"/>
        <v>0</v>
      </c>
      <c r="T210" s="293">
        <f t="shared" si="70"/>
        <v>0</v>
      </c>
      <c r="U210" s="230">
        <f t="shared" si="70"/>
        <v>0</v>
      </c>
      <c r="V210" s="293">
        <f t="shared" si="70"/>
        <v>0</v>
      </c>
      <c r="W210" s="230">
        <f t="shared" si="70"/>
        <v>0</v>
      </c>
      <c r="X210" s="293">
        <f t="shared" si="70"/>
        <v>0</v>
      </c>
      <c r="Y210" s="230">
        <f t="shared" si="70"/>
        <v>0</v>
      </c>
      <c r="Z210" s="293">
        <f t="shared" si="70"/>
        <v>0</v>
      </c>
    </row>
    <row r="211" spans="1:26" x14ac:dyDescent="0.2">
      <c r="A211" s="699"/>
      <c r="B211" s="205" t="s">
        <v>381</v>
      </c>
      <c r="C211" s="355"/>
      <c r="D211" s="356"/>
      <c r="E211" s="355"/>
      <c r="F211" s="356"/>
      <c r="G211" s="230">
        <f t="shared" si="70"/>
        <v>0</v>
      </c>
      <c r="H211" s="293">
        <f t="shared" si="70"/>
        <v>0</v>
      </c>
      <c r="I211" s="230">
        <f t="shared" si="70"/>
        <v>7865</v>
      </c>
      <c r="J211" s="293">
        <f t="shared" si="70"/>
        <v>2.2000000000000002</v>
      </c>
      <c r="K211" s="230">
        <f t="shared" si="70"/>
        <v>0</v>
      </c>
      <c r="L211" s="293">
        <f t="shared" si="70"/>
        <v>0</v>
      </c>
      <c r="M211" s="230">
        <f t="shared" si="70"/>
        <v>11464</v>
      </c>
      <c r="N211" s="293">
        <f t="shared" si="70"/>
        <v>3.2</v>
      </c>
      <c r="O211" s="230">
        <f t="shared" si="70"/>
        <v>21410</v>
      </c>
      <c r="P211" s="293">
        <f t="shared" si="70"/>
        <v>5.9999999999999991</v>
      </c>
      <c r="Q211" s="230">
        <f t="shared" si="70"/>
        <v>0</v>
      </c>
      <c r="R211" s="293">
        <f t="shared" si="70"/>
        <v>0</v>
      </c>
      <c r="S211" s="230">
        <f t="shared" si="70"/>
        <v>10847</v>
      </c>
      <c r="T211" s="293">
        <f t="shared" si="70"/>
        <v>4.4999999999999991</v>
      </c>
      <c r="U211" s="230">
        <f t="shared" si="70"/>
        <v>0</v>
      </c>
      <c r="V211" s="293">
        <f t="shared" si="70"/>
        <v>0</v>
      </c>
      <c r="W211" s="230">
        <f t="shared" si="70"/>
        <v>22603</v>
      </c>
      <c r="X211" s="293">
        <f t="shared" si="70"/>
        <v>6.2999999999999989</v>
      </c>
      <c r="Y211" s="230">
        <f t="shared" si="70"/>
        <v>8422</v>
      </c>
      <c r="Z211" s="293">
        <f t="shared" si="70"/>
        <v>3.5</v>
      </c>
    </row>
    <row r="212" spans="1:26" s="20" customFormat="1" x14ac:dyDescent="0.2">
      <c r="A212" s="700"/>
      <c r="B212" s="284" t="s">
        <v>382</v>
      </c>
      <c r="C212" s="357"/>
      <c r="D212" s="358"/>
      <c r="E212" s="357"/>
      <c r="F212" s="358"/>
      <c r="G212" s="275">
        <f t="shared" si="70"/>
        <v>7584</v>
      </c>
      <c r="H212" s="294">
        <f t="shared" si="70"/>
        <v>25.299999999999983</v>
      </c>
      <c r="I212" s="275">
        <f t="shared" si="70"/>
        <v>79206</v>
      </c>
      <c r="J212" s="294">
        <f t="shared" si="70"/>
        <v>22.000000000000014</v>
      </c>
      <c r="K212" s="275">
        <f t="shared" si="70"/>
        <v>66751</v>
      </c>
      <c r="L212" s="294">
        <f t="shared" si="70"/>
        <v>27.800000000000011</v>
      </c>
      <c r="M212" s="275">
        <f t="shared" si="70"/>
        <v>119952</v>
      </c>
      <c r="N212" s="294">
        <f t="shared" si="70"/>
        <v>33.400000000000006</v>
      </c>
      <c r="O212" s="275">
        <f t="shared" si="70"/>
        <v>319036</v>
      </c>
      <c r="P212" s="294">
        <f t="shared" si="70"/>
        <v>88.6</v>
      </c>
      <c r="Q212" s="275">
        <f t="shared" si="70"/>
        <v>161785</v>
      </c>
      <c r="R212" s="294">
        <f t="shared" si="70"/>
        <v>67.400000000000034</v>
      </c>
      <c r="S212" s="275">
        <f t="shared" si="70"/>
        <v>147303</v>
      </c>
      <c r="T212" s="294">
        <f t="shared" si="70"/>
        <v>61.5</v>
      </c>
      <c r="U212" s="275">
        <f t="shared" si="70"/>
        <v>70305</v>
      </c>
      <c r="V212" s="294">
        <f t="shared" si="70"/>
        <v>21.900000000000006</v>
      </c>
      <c r="W212" s="275">
        <f t="shared" si="70"/>
        <v>238765</v>
      </c>
      <c r="X212" s="294">
        <f t="shared" si="70"/>
        <v>66.300000000000011</v>
      </c>
      <c r="Y212" s="275">
        <f t="shared" si="70"/>
        <v>91822</v>
      </c>
      <c r="Z212" s="294">
        <f t="shared" si="70"/>
        <v>38.199999999999989</v>
      </c>
    </row>
    <row r="213" spans="1:26" x14ac:dyDescent="0.2">
      <c r="A213" s="201"/>
      <c r="B213" s="201"/>
      <c r="D213" s="270"/>
    </row>
    <row r="214" spans="1:26" s="202" customFormat="1" ht="13.15" customHeight="1" x14ac:dyDescent="0.2">
      <c r="A214" s="698" t="s">
        <v>575</v>
      </c>
      <c r="B214" s="269" t="s">
        <v>488</v>
      </c>
      <c r="C214" s="304" t="s">
        <v>486</v>
      </c>
      <c r="D214" s="280" t="s">
        <v>487</v>
      </c>
      <c r="E214" s="304" t="s">
        <v>486</v>
      </c>
      <c r="F214" s="280" t="s">
        <v>487</v>
      </c>
      <c r="G214" s="304" t="s">
        <v>486</v>
      </c>
      <c r="H214" s="280" t="s">
        <v>487</v>
      </c>
      <c r="I214" s="304" t="s">
        <v>486</v>
      </c>
      <c r="J214" s="280" t="s">
        <v>487</v>
      </c>
      <c r="K214" s="304" t="s">
        <v>486</v>
      </c>
      <c r="L214" s="280" t="s">
        <v>487</v>
      </c>
      <c r="M214" s="304" t="s">
        <v>486</v>
      </c>
      <c r="N214" s="280" t="s">
        <v>487</v>
      </c>
      <c r="O214" s="304" t="s">
        <v>486</v>
      </c>
      <c r="P214" s="280" t="s">
        <v>487</v>
      </c>
      <c r="Q214" s="304" t="s">
        <v>486</v>
      </c>
      <c r="R214" s="280" t="s">
        <v>487</v>
      </c>
      <c r="S214" s="304" t="s">
        <v>486</v>
      </c>
      <c r="T214" s="280" t="s">
        <v>487</v>
      </c>
      <c r="U214" s="304" t="s">
        <v>486</v>
      </c>
      <c r="V214" s="280" t="s">
        <v>487</v>
      </c>
      <c r="W214" s="304" t="s">
        <v>486</v>
      </c>
      <c r="X214" s="280" t="s">
        <v>487</v>
      </c>
      <c r="Y214" s="304" t="s">
        <v>486</v>
      </c>
      <c r="Z214" s="314" t="s">
        <v>487</v>
      </c>
    </row>
    <row r="215" spans="1:26" s="204" customFormat="1" x14ac:dyDescent="0.2">
      <c r="A215" s="699"/>
      <c r="B215" s="272" t="s">
        <v>576</v>
      </c>
      <c r="C215" s="425">
        <v>19</v>
      </c>
      <c r="D215" s="15">
        <v>21</v>
      </c>
      <c r="E215" s="426">
        <v>19</v>
      </c>
      <c r="F215" s="15">
        <v>21</v>
      </c>
      <c r="G215" s="426">
        <v>19</v>
      </c>
      <c r="H215" s="15">
        <v>21</v>
      </c>
      <c r="I215" s="426">
        <v>19</v>
      </c>
      <c r="J215" s="15">
        <v>21</v>
      </c>
      <c r="K215" s="426">
        <v>19</v>
      </c>
      <c r="L215" s="15">
        <v>21</v>
      </c>
      <c r="M215" s="426">
        <v>19</v>
      </c>
      <c r="N215" s="15">
        <v>21</v>
      </c>
      <c r="O215" s="426">
        <v>19</v>
      </c>
      <c r="P215" s="15">
        <v>21</v>
      </c>
      <c r="Q215" s="426">
        <v>19</v>
      </c>
      <c r="R215" s="15">
        <v>21</v>
      </c>
      <c r="S215" s="426">
        <v>19</v>
      </c>
      <c r="T215" s="15">
        <v>21</v>
      </c>
      <c r="U215" s="426">
        <v>17</v>
      </c>
      <c r="V215" s="15">
        <v>19</v>
      </c>
      <c r="W215" s="426">
        <v>19</v>
      </c>
      <c r="X215" s="15">
        <v>21</v>
      </c>
      <c r="Y215" s="426">
        <v>19</v>
      </c>
      <c r="Z215" s="427">
        <v>21</v>
      </c>
    </row>
    <row r="216" spans="1:26" s="216" customFormat="1" x14ac:dyDescent="0.2">
      <c r="A216" s="699"/>
      <c r="B216" s="288" t="s">
        <v>490</v>
      </c>
      <c r="C216" s="289" t="s">
        <v>372</v>
      </c>
      <c r="D216" s="290" t="s">
        <v>397</v>
      </c>
      <c r="E216" s="289" t="s">
        <v>372</v>
      </c>
      <c r="F216" s="291" t="s">
        <v>397</v>
      </c>
      <c r="G216" s="292" t="s">
        <v>372</v>
      </c>
      <c r="H216" s="290" t="s">
        <v>397</v>
      </c>
      <c r="I216" s="289" t="s">
        <v>372</v>
      </c>
      <c r="J216" s="291" t="s">
        <v>397</v>
      </c>
      <c r="K216" s="292" t="s">
        <v>372</v>
      </c>
      <c r="L216" s="290" t="s">
        <v>397</v>
      </c>
      <c r="M216" s="289" t="s">
        <v>372</v>
      </c>
      <c r="N216" s="290" t="s">
        <v>397</v>
      </c>
      <c r="O216" s="289" t="s">
        <v>372</v>
      </c>
      <c r="P216" s="290" t="s">
        <v>397</v>
      </c>
      <c r="Q216" s="289" t="s">
        <v>372</v>
      </c>
      <c r="R216" s="290" t="s">
        <v>397</v>
      </c>
      <c r="S216" s="289" t="s">
        <v>372</v>
      </c>
      <c r="T216" s="290" t="s">
        <v>397</v>
      </c>
      <c r="U216" s="289" t="s">
        <v>372</v>
      </c>
      <c r="V216" s="290" t="s">
        <v>397</v>
      </c>
      <c r="W216" s="289" t="s">
        <v>372</v>
      </c>
      <c r="X216" s="290" t="s">
        <v>397</v>
      </c>
      <c r="Y216" s="289" t="s">
        <v>372</v>
      </c>
      <c r="Z216" s="291" t="s">
        <v>397</v>
      </c>
    </row>
    <row r="217" spans="1:26" x14ac:dyDescent="0.2">
      <c r="A217" s="699"/>
      <c r="B217" s="272" t="s">
        <v>373</v>
      </c>
      <c r="C217" s="230">
        <v>19833</v>
      </c>
      <c r="D217" s="231">
        <v>124</v>
      </c>
      <c r="E217" s="230">
        <v>91277</v>
      </c>
      <c r="F217" s="273">
        <v>101.4</v>
      </c>
      <c r="G217" s="285">
        <v>35497</v>
      </c>
      <c r="H217" s="231">
        <v>118.3</v>
      </c>
      <c r="I217" s="230">
        <v>181634</v>
      </c>
      <c r="J217" s="273">
        <v>50.5</v>
      </c>
      <c r="K217" s="285">
        <v>182370</v>
      </c>
      <c r="L217" s="231">
        <v>76</v>
      </c>
      <c r="M217" s="230">
        <v>199938</v>
      </c>
      <c r="N217" s="231">
        <v>55.5</v>
      </c>
      <c r="O217" s="230">
        <v>328670</v>
      </c>
      <c r="P217" s="231">
        <v>91.3</v>
      </c>
      <c r="Q217" s="230">
        <v>203481</v>
      </c>
      <c r="R217" s="231">
        <v>84.8</v>
      </c>
      <c r="S217" s="230">
        <v>231441</v>
      </c>
      <c r="T217" s="231">
        <v>96.4</v>
      </c>
      <c r="U217" s="230">
        <v>361954</v>
      </c>
      <c r="V217" s="231">
        <v>113.1</v>
      </c>
      <c r="W217" s="230">
        <v>248392</v>
      </c>
      <c r="X217" s="231">
        <v>69</v>
      </c>
      <c r="Y217" s="230">
        <v>248258</v>
      </c>
      <c r="Z217" s="273">
        <v>103.4</v>
      </c>
    </row>
    <row r="218" spans="1:26" x14ac:dyDescent="0.2">
      <c r="A218" s="699"/>
      <c r="B218" s="272" t="s">
        <v>374</v>
      </c>
      <c r="C218" s="230">
        <v>0</v>
      </c>
      <c r="D218" s="231">
        <v>0</v>
      </c>
      <c r="E218" s="230">
        <v>0</v>
      </c>
      <c r="F218" s="273">
        <v>0</v>
      </c>
      <c r="G218" s="285">
        <v>1913</v>
      </c>
      <c r="H218" s="231">
        <v>6.4</v>
      </c>
      <c r="I218" s="230">
        <v>23332</v>
      </c>
      <c r="J218" s="273">
        <v>6.5</v>
      </c>
      <c r="K218" s="285">
        <v>19045</v>
      </c>
      <c r="L218" s="231">
        <v>7.9</v>
      </c>
      <c r="M218" s="230">
        <v>30524</v>
      </c>
      <c r="N218" s="231">
        <v>8.5</v>
      </c>
      <c r="O218" s="230">
        <v>80111</v>
      </c>
      <c r="P218" s="231">
        <v>22.3</v>
      </c>
      <c r="Q218" s="230">
        <v>48966</v>
      </c>
      <c r="R218" s="231">
        <v>20.399999999999999</v>
      </c>
      <c r="S218" s="230">
        <v>28097</v>
      </c>
      <c r="T218" s="231">
        <v>11.7</v>
      </c>
      <c r="U218" s="230">
        <v>51291</v>
      </c>
      <c r="V218" s="231">
        <v>16</v>
      </c>
      <c r="W218" s="230">
        <v>49234</v>
      </c>
      <c r="X218" s="231">
        <v>13.7</v>
      </c>
      <c r="Y218" s="230">
        <v>14766</v>
      </c>
      <c r="Z218" s="273">
        <v>6.2</v>
      </c>
    </row>
    <row r="219" spans="1:26" x14ac:dyDescent="0.2">
      <c r="A219" s="699"/>
      <c r="B219" s="272" t="s">
        <v>375</v>
      </c>
      <c r="C219" s="230">
        <v>4765</v>
      </c>
      <c r="D219" s="231">
        <v>29.8</v>
      </c>
      <c r="E219" s="230">
        <v>26792</v>
      </c>
      <c r="F219" s="273">
        <v>29.8</v>
      </c>
      <c r="G219" s="285">
        <v>3007</v>
      </c>
      <c r="H219" s="231">
        <v>10</v>
      </c>
      <c r="I219" s="230">
        <v>18040</v>
      </c>
      <c r="J219" s="273">
        <v>5</v>
      </c>
      <c r="K219" s="285">
        <v>23530</v>
      </c>
      <c r="L219" s="231">
        <v>9.8000000000000007</v>
      </c>
      <c r="M219" s="230">
        <v>18040</v>
      </c>
      <c r="N219" s="231">
        <v>5</v>
      </c>
      <c r="O219" s="230">
        <v>107170</v>
      </c>
      <c r="P219" s="231">
        <v>29.8</v>
      </c>
      <c r="Q219" s="230">
        <v>71482</v>
      </c>
      <c r="R219" s="231">
        <v>29.8</v>
      </c>
      <c r="S219" s="230">
        <v>71482</v>
      </c>
      <c r="T219" s="231">
        <v>29.8</v>
      </c>
      <c r="U219" s="230">
        <v>156864</v>
      </c>
      <c r="V219" s="231">
        <v>49</v>
      </c>
      <c r="W219" s="230">
        <v>36408</v>
      </c>
      <c r="X219" s="231">
        <v>10.1</v>
      </c>
      <c r="Y219" s="230">
        <v>24054</v>
      </c>
      <c r="Z219" s="273">
        <v>10</v>
      </c>
    </row>
    <row r="220" spans="1:26" x14ac:dyDescent="0.2">
      <c r="A220" s="699"/>
      <c r="B220" s="272" t="s">
        <v>376</v>
      </c>
      <c r="C220" s="230">
        <v>935</v>
      </c>
      <c r="D220" s="231">
        <v>5.8</v>
      </c>
      <c r="E220" s="230">
        <v>6570</v>
      </c>
      <c r="F220" s="273">
        <v>7.3</v>
      </c>
      <c r="G220" s="285">
        <v>7830</v>
      </c>
      <c r="H220" s="231">
        <v>26.1</v>
      </c>
      <c r="I220" s="230">
        <v>93974</v>
      </c>
      <c r="J220" s="273">
        <v>26.1</v>
      </c>
      <c r="K220" s="285">
        <v>68800</v>
      </c>
      <c r="L220" s="231">
        <v>28.7</v>
      </c>
      <c r="M220" s="230">
        <v>122166</v>
      </c>
      <c r="N220" s="231">
        <v>33.9</v>
      </c>
      <c r="O220" s="230">
        <v>292652</v>
      </c>
      <c r="P220" s="231">
        <v>81.3</v>
      </c>
      <c r="Q220" s="230">
        <v>171598</v>
      </c>
      <c r="R220" s="231">
        <v>71.5</v>
      </c>
      <c r="S220" s="230">
        <v>116800</v>
      </c>
      <c r="T220" s="231">
        <v>48.7</v>
      </c>
      <c r="U220" s="230">
        <v>82560</v>
      </c>
      <c r="V220" s="231">
        <v>25.8</v>
      </c>
      <c r="W220" s="230">
        <v>224688</v>
      </c>
      <c r="X220" s="231">
        <v>62.4</v>
      </c>
      <c r="Y220" s="230">
        <v>68904</v>
      </c>
      <c r="Z220" s="273">
        <v>28.7</v>
      </c>
    </row>
    <row r="221" spans="1:26" x14ac:dyDescent="0.2">
      <c r="A221" s="699"/>
      <c r="B221" s="272" t="s">
        <v>377</v>
      </c>
      <c r="C221" s="230">
        <v>97</v>
      </c>
      <c r="D221" s="231">
        <v>0.6</v>
      </c>
      <c r="E221" s="230">
        <v>483</v>
      </c>
      <c r="F221" s="273">
        <v>0.5</v>
      </c>
      <c r="G221" s="285">
        <v>232</v>
      </c>
      <c r="H221" s="231">
        <v>0.8</v>
      </c>
      <c r="I221" s="230">
        <v>6866</v>
      </c>
      <c r="J221" s="273">
        <v>1.9</v>
      </c>
      <c r="K221" s="285">
        <v>1645</v>
      </c>
      <c r="L221" s="231">
        <v>0.7</v>
      </c>
      <c r="M221" s="230">
        <v>7951</v>
      </c>
      <c r="N221" s="231">
        <v>2.2000000000000002</v>
      </c>
      <c r="O221" s="230">
        <v>10275</v>
      </c>
      <c r="P221" s="231">
        <v>2.9</v>
      </c>
      <c r="Q221" s="230">
        <v>1541</v>
      </c>
      <c r="R221" s="231">
        <v>0.6</v>
      </c>
      <c r="S221" s="230">
        <v>5006</v>
      </c>
      <c r="T221" s="231">
        <v>2.1</v>
      </c>
      <c r="U221" s="230">
        <v>2750</v>
      </c>
      <c r="V221" s="231">
        <v>0.9</v>
      </c>
      <c r="W221" s="230">
        <v>11596</v>
      </c>
      <c r="X221" s="231">
        <v>3.2</v>
      </c>
      <c r="Y221" s="230">
        <v>5588</v>
      </c>
      <c r="Z221" s="273">
        <v>2.2999999999999998</v>
      </c>
    </row>
    <row r="222" spans="1:26" x14ac:dyDescent="0.2">
      <c r="A222" s="699"/>
      <c r="B222" s="272" t="s">
        <v>378</v>
      </c>
      <c r="C222" s="230">
        <v>1822</v>
      </c>
      <c r="D222" s="231">
        <v>11.4</v>
      </c>
      <c r="E222" s="230">
        <v>10253</v>
      </c>
      <c r="F222" s="273">
        <v>11.4</v>
      </c>
      <c r="G222" s="285">
        <v>7830</v>
      </c>
      <c r="H222" s="231">
        <v>26.1</v>
      </c>
      <c r="I222" s="230">
        <v>112752</v>
      </c>
      <c r="J222" s="273">
        <v>31.3</v>
      </c>
      <c r="K222" s="285">
        <v>64500</v>
      </c>
      <c r="L222" s="231">
        <v>26.9</v>
      </c>
      <c r="M222" s="230">
        <v>112752</v>
      </c>
      <c r="N222" s="231">
        <v>31.3</v>
      </c>
      <c r="O222" s="230">
        <v>210172</v>
      </c>
      <c r="P222" s="231">
        <v>58.4</v>
      </c>
      <c r="Q222" s="230">
        <v>140160</v>
      </c>
      <c r="R222" s="231">
        <v>58.4</v>
      </c>
      <c r="S222" s="230">
        <v>140160</v>
      </c>
      <c r="T222" s="231">
        <v>58.4</v>
      </c>
      <c r="U222" s="230">
        <v>82560</v>
      </c>
      <c r="V222" s="231">
        <v>25.8</v>
      </c>
      <c r="W222" s="230">
        <v>252746</v>
      </c>
      <c r="X222" s="231">
        <v>70.2</v>
      </c>
      <c r="Y222" s="230">
        <v>68904</v>
      </c>
      <c r="Z222" s="273">
        <v>28.7</v>
      </c>
    </row>
    <row r="223" spans="1:26" x14ac:dyDescent="0.2">
      <c r="A223" s="699"/>
      <c r="B223" s="272" t="s">
        <v>379</v>
      </c>
      <c r="C223" s="230">
        <v>2803</v>
      </c>
      <c r="D223" s="231">
        <v>17.5</v>
      </c>
      <c r="E223" s="230">
        <v>15768</v>
      </c>
      <c r="F223" s="273">
        <v>17.5</v>
      </c>
      <c r="G223" s="285">
        <v>1566</v>
      </c>
      <c r="H223" s="231">
        <v>5.2</v>
      </c>
      <c r="I223" s="230">
        <v>124050</v>
      </c>
      <c r="J223" s="273">
        <v>34.5</v>
      </c>
      <c r="K223" s="285">
        <v>30960</v>
      </c>
      <c r="L223" s="231">
        <v>12.9</v>
      </c>
      <c r="M223" s="230">
        <v>124050</v>
      </c>
      <c r="N223" s="231">
        <v>34.5</v>
      </c>
      <c r="O223" s="230">
        <v>168192</v>
      </c>
      <c r="P223" s="231">
        <v>46.7</v>
      </c>
      <c r="Q223" s="230">
        <v>56064</v>
      </c>
      <c r="R223" s="231">
        <v>23.4</v>
      </c>
      <c r="S223" s="230">
        <v>14016</v>
      </c>
      <c r="T223" s="231">
        <v>5.8</v>
      </c>
      <c r="U223" s="230">
        <v>8256</v>
      </c>
      <c r="V223" s="231">
        <v>2.6</v>
      </c>
      <c r="W223" s="230">
        <v>13478</v>
      </c>
      <c r="X223" s="231">
        <v>3.7</v>
      </c>
      <c r="Y223" s="230">
        <v>6890</v>
      </c>
      <c r="Z223" s="273">
        <v>2.9</v>
      </c>
    </row>
    <row r="224" spans="1:26" x14ac:dyDescent="0.2">
      <c r="A224" s="699"/>
      <c r="B224" s="272" t="s">
        <v>380</v>
      </c>
      <c r="C224" s="230">
        <v>0</v>
      </c>
      <c r="D224" s="231">
        <v>0</v>
      </c>
      <c r="E224" s="235">
        <v>0</v>
      </c>
      <c r="F224" s="273">
        <v>0</v>
      </c>
      <c r="G224" s="285">
        <v>0</v>
      </c>
      <c r="H224" s="231">
        <v>0</v>
      </c>
      <c r="I224" s="230">
        <v>0</v>
      </c>
      <c r="J224" s="273">
        <v>0</v>
      </c>
      <c r="K224" s="285">
        <v>0</v>
      </c>
      <c r="L224" s="231">
        <v>0</v>
      </c>
      <c r="M224" s="230">
        <v>0</v>
      </c>
      <c r="N224" s="231">
        <v>0</v>
      </c>
      <c r="O224" s="230">
        <v>0</v>
      </c>
      <c r="P224" s="231">
        <v>0</v>
      </c>
      <c r="Q224" s="230">
        <v>0</v>
      </c>
      <c r="R224" s="231">
        <v>0</v>
      </c>
      <c r="S224" s="230">
        <v>0</v>
      </c>
      <c r="T224" s="231">
        <v>0</v>
      </c>
      <c r="U224" s="230">
        <v>0</v>
      </c>
      <c r="V224" s="231">
        <v>0</v>
      </c>
      <c r="W224" s="230">
        <v>0</v>
      </c>
      <c r="X224" s="231">
        <v>0</v>
      </c>
      <c r="Y224" s="230">
        <v>0</v>
      </c>
      <c r="Z224" s="273">
        <v>0</v>
      </c>
    </row>
    <row r="225" spans="1:26" x14ac:dyDescent="0.2">
      <c r="A225" s="699"/>
      <c r="B225" s="272" t="s">
        <v>381</v>
      </c>
      <c r="C225" s="230">
        <v>0</v>
      </c>
      <c r="D225" s="231">
        <v>0</v>
      </c>
      <c r="E225" s="235">
        <v>0</v>
      </c>
      <c r="F225" s="273">
        <v>0</v>
      </c>
      <c r="G225" s="285">
        <v>0</v>
      </c>
      <c r="H225" s="231">
        <v>0</v>
      </c>
      <c r="I225" s="230">
        <v>20235</v>
      </c>
      <c r="J225" s="273">
        <v>5.6</v>
      </c>
      <c r="K225" s="285">
        <v>0</v>
      </c>
      <c r="L225" s="231">
        <v>0</v>
      </c>
      <c r="M225" s="230">
        <v>26017</v>
      </c>
      <c r="N225" s="231">
        <v>7.2</v>
      </c>
      <c r="O225" s="230">
        <v>51513</v>
      </c>
      <c r="P225" s="231">
        <v>14.3</v>
      </c>
      <c r="Q225" s="230">
        <v>0</v>
      </c>
      <c r="R225" s="231">
        <v>0</v>
      </c>
      <c r="S225" s="230">
        <v>22800</v>
      </c>
      <c r="T225" s="231">
        <v>9.5</v>
      </c>
      <c r="U225" s="230">
        <v>0</v>
      </c>
      <c r="V225" s="231">
        <v>0</v>
      </c>
      <c r="W225" s="230">
        <v>53219</v>
      </c>
      <c r="X225" s="231">
        <v>14.8</v>
      </c>
      <c r="Y225" s="230">
        <v>17590</v>
      </c>
      <c r="Z225" s="273">
        <v>7.3</v>
      </c>
    </row>
    <row r="226" spans="1:26" s="20" customFormat="1" x14ac:dyDescent="0.2">
      <c r="A226" s="699"/>
      <c r="B226" s="274" t="s">
        <v>382</v>
      </c>
      <c r="C226" s="228">
        <v>30255</v>
      </c>
      <c r="D226" s="232">
        <v>189.1</v>
      </c>
      <c r="E226" s="277">
        <v>151143</v>
      </c>
      <c r="F226" s="287">
        <v>167.9</v>
      </c>
      <c r="G226" s="286">
        <v>57875</v>
      </c>
      <c r="H226" s="276">
        <v>192.9</v>
      </c>
      <c r="I226" s="275">
        <v>580884</v>
      </c>
      <c r="J226" s="279">
        <v>161.4</v>
      </c>
      <c r="K226" s="286">
        <v>390849</v>
      </c>
      <c r="L226" s="276">
        <v>162.9</v>
      </c>
      <c r="M226" s="275">
        <v>641439</v>
      </c>
      <c r="N226" s="276">
        <v>178.2</v>
      </c>
      <c r="O226" s="275">
        <v>1248756</v>
      </c>
      <c r="P226" s="276">
        <v>346.9</v>
      </c>
      <c r="Q226" s="275">
        <v>693292</v>
      </c>
      <c r="R226" s="276">
        <v>288.89999999999998</v>
      </c>
      <c r="S226" s="275">
        <v>629802</v>
      </c>
      <c r="T226" s="276">
        <v>262.39999999999998</v>
      </c>
      <c r="U226" s="275">
        <v>746235</v>
      </c>
      <c r="V226" s="276">
        <v>233.2</v>
      </c>
      <c r="W226" s="275">
        <v>889763</v>
      </c>
      <c r="X226" s="276">
        <v>247.2</v>
      </c>
      <c r="Y226" s="275">
        <v>454955</v>
      </c>
      <c r="Z226" s="279">
        <v>189.6</v>
      </c>
    </row>
    <row r="227" spans="1:26" s="216" customFormat="1" x14ac:dyDescent="0.2">
      <c r="A227" s="699"/>
      <c r="B227" s="283" t="s">
        <v>491</v>
      </c>
      <c r="C227" s="289" t="s">
        <v>372</v>
      </c>
      <c r="D227" s="291" t="s">
        <v>397</v>
      </c>
      <c r="E227" s="289" t="s">
        <v>372</v>
      </c>
      <c r="F227" s="291" t="s">
        <v>397</v>
      </c>
      <c r="G227" s="289" t="s">
        <v>372</v>
      </c>
      <c r="H227" s="291" t="s">
        <v>397</v>
      </c>
      <c r="I227" s="289" t="s">
        <v>372</v>
      </c>
      <c r="J227" s="291" t="s">
        <v>397</v>
      </c>
      <c r="K227" s="289" t="s">
        <v>372</v>
      </c>
      <c r="L227" s="291" t="s">
        <v>397</v>
      </c>
      <c r="M227" s="289" t="s">
        <v>372</v>
      </c>
      <c r="N227" s="291" t="s">
        <v>397</v>
      </c>
      <c r="O227" s="289" t="s">
        <v>372</v>
      </c>
      <c r="P227" s="291" t="s">
        <v>397</v>
      </c>
      <c r="Q227" s="289" t="s">
        <v>372</v>
      </c>
      <c r="R227" s="291" t="s">
        <v>397</v>
      </c>
      <c r="S227" s="289" t="s">
        <v>372</v>
      </c>
      <c r="T227" s="291" t="s">
        <v>397</v>
      </c>
      <c r="U227" s="289" t="s">
        <v>372</v>
      </c>
      <c r="V227" s="291" t="s">
        <v>397</v>
      </c>
      <c r="W227" s="289" t="s">
        <v>372</v>
      </c>
      <c r="X227" s="291" t="s">
        <v>397</v>
      </c>
      <c r="Y227" s="289" t="s">
        <v>372</v>
      </c>
      <c r="Z227" s="291" t="s">
        <v>397</v>
      </c>
    </row>
    <row r="228" spans="1:26" x14ac:dyDescent="0.2">
      <c r="A228" s="699"/>
      <c r="B228" s="272" t="s">
        <v>373</v>
      </c>
      <c r="C228" s="230">
        <f t="shared" ref="C228:Z228" si="71">C217-C6</f>
        <v>1375</v>
      </c>
      <c r="D228" s="293">
        <f t="shared" si="71"/>
        <v>8.5999999999999943</v>
      </c>
      <c r="E228" s="230">
        <f t="shared" si="71"/>
        <v>6920</v>
      </c>
      <c r="F228" s="293">
        <f t="shared" si="71"/>
        <v>7.7000000000000028</v>
      </c>
      <c r="G228" s="230">
        <f t="shared" si="71"/>
        <v>4473</v>
      </c>
      <c r="H228" s="293">
        <f t="shared" si="71"/>
        <v>14.899999999999991</v>
      </c>
      <c r="I228" s="230">
        <f t="shared" si="71"/>
        <v>30748</v>
      </c>
      <c r="J228" s="293">
        <f t="shared" si="71"/>
        <v>8.6000000000000014</v>
      </c>
      <c r="K228" s="230">
        <f t="shared" si="71"/>
        <v>31002</v>
      </c>
      <c r="L228" s="293">
        <f t="shared" si="71"/>
        <v>12.899999999999999</v>
      </c>
      <c r="M228" s="230">
        <f t="shared" si="71"/>
        <v>32155</v>
      </c>
      <c r="N228" s="293">
        <f t="shared" si="71"/>
        <v>8.8999999999999986</v>
      </c>
      <c r="O228" s="230">
        <f t="shared" si="71"/>
        <v>37297</v>
      </c>
      <c r="P228" s="293">
        <f t="shared" si="71"/>
        <v>10.399999999999991</v>
      </c>
      <c r="Q228" s="230">
        <f t="shared" si="71"/>
        <v>23832</v>
      </c>
      <c r="R228" s="293">
        <f t="shared" si="71"/>
        <v>9.8999999999999915</v>
      </c>
      <c r="S228" s="230">
        <f t="shared" si="71"/>
        <v>14642</v>
      </c>
      <c r="T228" s="293">
        <f t="shared" si="71"/>
        <v>6.1000000000000085</v>
      </c>
      <c r="U228" s="230">
        <f t="shared" si="71"/>
        <v>63299</v>
      </c>
      <c r="V228" s="293">
        <f t="shared" si="71"/>
        <v>19.799999999999997</v>
      </c>
      <c r="W228" s="230">
        <f t="shared" si="71"/>
        <v>31134</v>
      </c>
      <c r="X228" s="293">
        <f t="shared" si="71"/>
        <v>8.7000000000000028</v>
      </c>
      <c r="Y228" s="230">
        <f t="shared" si="71"/>
        <v>26852</v>
      </c>
      <c r="Z228" s="293">
        <f t="shared" si="71"/>
        <v>11.100000000000009</v>
      </c>
    </row>
    <row r="229" spans="1:26" x14ac:dyDescent="0.2">
      <c r="A229" s="699"/>
      <c r="B229" s="272" t="s">
        <v>374</v>
      </c>
      <c r="C229" s="230">
        <f t="shared" ref="C229:D237" si="72">C218-C7</f>
        <v>0</v>
      </c>
      <c r="D229" s="293">
        <f t="shared" si="72"/>
        <v>0</v>
      </c>
      <c r="E229" s="230">
        <f t="shared" ref="E229:Z229" si="73">E218-E7</f>
        <v>0</v>
      </c>
      <c r="F229" s="293">
        <f t="shared" si="73"/>
        <v>0</v>
      </c>
      <c r="G229" s="230">
        <f t="shared" si="73"/>
        <v>-70</v>
      </c>
      <c r="H229" s="293">
        <f t="shared" si="73"/>
        <v>-0.19999999999999929</v>
      </c>
      <c r="I229" s="230">
        <f t="shared" si="73"/>
        <v>-890</v>
      </c>
      <c r="J229" s="293">
        <f t="shared" si="73"/>
        <v>-0.20000000000000018</v>
      </c>
      <c r="K229" s="230">
        <f t="shared" si="73"/>
        <v>-881</v>
      </c>
      <c r="L229" s="293">
        <f t="shared" si="73"/>
        <v>-0.40000000000000036</v>
      </c>
      <c r="M229" s="230">
        <f t="shared" si="73"/>
        <v>-1089</v>
      </c>
      <c r="N229" s="293">
        <f t="shared" si="73"/>
        <v>-0.30000000000000071</v>
      </c>
      <c r="O229" s="230">
        <f t="shared" si="73"/>
        <v>-10054</v>
      </c>
      <c r="P229" s="293">
        <f t="shared" si="73"/>
        <v>-2.6999999999999993</v>
      </c>
      <c r="Q229" s="230">
        <f t="shared" si="73"/>
        <v>-7616</v>
      </c>
      <c r="R229" s="293">
        <f t="shared" si="73"/>
        <v>-3.2000000000000028</v>
      </c>
      <c r="S229" s="230">
        <f t="shared" si="73"/>
        <v>-874</v>
      </c>
      <c r="T229" s="293">
        <f t="shared" si="73"/>
        <v>-0.40000000000000036</v>
      </c>
      <c r="U229" s="230">
        <f t="shared" si="73"/>
        <v>-1951</v>
      </c>
      <c r="V229" s="293">
        <f t="shared" si="73"/>
        <v>-0.60000000000000142</v>
      </c>
      <c r="W229" s="230">
        <f t="shared" si="73"/>
        <v>-2120</v>
      </c>
      <c r="X229" s="293">
        <f t="shared" si="73"/>
        <v>-0.60000000000000142</v>
      </c>
      <c r="Y229" s="230">
        <f t="shared" si="73"/>
        <v>-703</v>
      </c>
      <c r="Z229" s="293">
        <f t="shared" si="73"/>
        <v>-0.20000000000000018</v>
      </c>
    </row>
    <row r="230" spans="1:26" x14ac:dyDescent="0.2">
      <c r="A230" s="699"/>
      <c r="B230" s="272" t="s">
        <v>375</v>
      </c>
      <c r="C230" s="230">
        <f t="shared" si="72"/>
        <v>0</v>
      </c>
      <c r="D230" s="293">
        <f t="shared" si="72"/>
        <v>0</v>
      </c>
      <c r="E230" s="230">
        <f t="shared" ref="E230:Z230" si="74">E219-E8</f>
        <v>0</v>
      </c>
      <c r="F230" s="293">
        <f t="shared" si="74"/>
        <v>0</v>
      </c>
      <c r="G230" s="230">
        <f t="shared" si="74"/>
        <v>0</v>
      </c>
      <c r="H230" s="293">
        <f t="shared" si="74"/>
        <v>0</v>
      </c>
      <c r="I230" s="230">
        <f t="shared" si="74"/>
        <v>0</v>
      </c>
      <c r="J230" s="293">
        <f t="shared" si="74"/>
        <v>0</v>
      </c>
      <c r="K230" s="230">
        <f t="shared" si="74"/>
        <v>0</v>
      </c>
      <c r="L230" s="293">
        <f t="shared" si="74"/>
        <v>0</v>
      </c>
      <c r="M230" s="230">
        <f t="shared" si="74"/>
        <v>0</v>
      </c>
      <c r="N230" s="293">
        <f t="shared" si="74"/>
        <v>0</v>
      </c>
      <c r="O230" s="230">
        <f t="shared" si="74"/>
        <v>0</v>
      </c>
      <c r="P230" s="293">
        <f t="shared" si="74"/>
        <v>0</v>
      </c>
      <c r="Q230" s="230">
        <f t="shared" si="74"/>
        <v>0</v>
      </c>
      <c r="R230" s="293">
        <f t="shared" si="74"/>
        <v>0</v>
      </c>
      <c r="S230" s="230">
        <f t="shared" si="74"/>
        <v>0</v>
      </c>
      <c r="T230" s="293">
        <f t="shared" si="74"/>
        <v>0</v>
      </c>
      <c r="U230" s="230">
        <f t="shared" si="74"/>
        <v>0</v>
      </c>
      <c r="V230" s="293">
        <f t="shared" si="74"/>
        <v>0</v>
      </c>
      <c r="W230" s="230">
        <f t="shared" si="74"/>
        <v>0</v>
      </c>
      <c r="X230" s="293">
        <f t="shared" si="74"/>
        <v>0</v>
      </c>
      <c r="Y230" s="230">
        <f t="shared" si="74"/>
        <v>0</v>
      </c>
      <c r="Z230" s="293">
        <f t="shared" si="74"/>
        <v>0</v>
      </c>
    </row>
    <row r="231" spans="1:26" x14ac:dyDescent="0.2">
      <c r="A231" s="699"/>
      <c r="B231" s="272" t="s">
        <v>376</v>
      </c>
      <c r="C231" s="230">
        <f t="shared" si="72"/>
        <v>0</v>
      </c>
      <c r="D231" s="293">
        <f t="shared" si="72"/>
        <v>0</v>
      </c>
      <c r="E231" s="230">
        <f t="shared" ref="E231:Z231" si="75">E220-E9</f>
        <v>0</v>
      </c>
      <c r="F231" s="293">
        <f t="shared" si="75"/>
        <v>0</v>
      </c>
      <c r="G231" s="230">
        <f t="shared" si="75"/>
        <v>0</v>
      </c>
      <c r="H231" s="293">
        <f t="shared" si="75"/>
        <v>0</v>
      </c>
      <c r="I231" s="230">
        <f t="shared" si="75"/>
        <v>0</v>
      </c>
      <c r="J231" s="293">
        <f t="shared" si="75"/>
        <v>0</v>
      </c>
      <c r="K231" s="230">
        <f t="shared" si="75"/>
        <v>0</v>
      </c>
      <c r="L231" s="293">
        <f t="shared" si="75"/>
        <v>0</v>
      </c>
      <c r="M231" s="230">
        <f t="shared" si="75"/>
        <v>0</v>
      </c>
      <c r="N231" s="293">
        <f t="shared" si="75"/>
        <v>0</v>
      </c>
      <c r="O231" s="230">
        <f t="shared" si="75"/>
        <v>0</v>
      </c>
      <c r="P231" s="293">
        <f t="shared" si="75"/>
        <v>0</v>
      </c>
      <c r="Q231" s="230">
        <f t="shared" si="75"/>
        <v>0</v>
      </c>
      <c r="R231" s="293">
        <f t="shared" si="75"/>
        <v>0</v>
      </c>
      <c r="S231" s="230">
        <f t="shared" si="75"/>
        <v>0</v>
      </c>
      <c r="T231" s="293">
        <f t="shared" si="75"/>
        <v>0</v>
      </c>
      <c r="U231" s="230">
        <f t="shared" si="75"/>
        <v>0</v>
      </c>
      <c r="V231" s="293">
        <f t="shared" si="75"/>
        <v>0</v>
      </c>
      <c r="W231" s="230">
        <f t="shared" si="75"/>
        <v>0</v>
      </c>
      <c r="X231" s="293">
        <f t="shared" si="75"/>
        <v>0</v>
      </c>
      <c r="Y231" s="230">
        <f t="shared" si="75"/>
        <v>0</v>
      </c>
      <c r="Z231" s="293">
        <f t="shared" si="75"/>
        <v>0</v>
      </c>
    </row>
    <row r="232" spans="1:26" x14ac:dyDescent="0.2">
      <c r="A232" s="699"/>
      <c r="B232" s="272" t="s">
        <v>377</v>
      </c>
      <c r="C232" s="230">
        <f t="shared" si="72"/>
        <v>-22</v>
      </c>
      <c r="D232" s="293">
        <f t="shared" si="72"/>
        <v>-9.9999999999999978E-2</v>
      </c>
      <c r="E232" s="230">
        <f t="shared" ref="E232:Z232" si="76">E221-E10</f>
        <v>-38</v>
      </c>
      <c r="F232" s="293">
        <f t="shared" si="76"/>
        <v>-9.9999999999999978E-2</v>
      </c>
      <c r="G232" s="230">
        <f t="shared" si="76"/>
        <v>-89</v>
      </c>
      <c r="H232" s="293">
        <f t="shared" si="76"/>
        <v>-0.30000000000000004</v>
      </c>
      <c r="I232" s="230">
        <f t="shared" si="76"/>
        <v>-575</v>
      </c>
      <c r="J232" s="293">
        <f t="shared" si="76"/>
        <v>-0.20000000000000018</v>
      </c>
      <c r="K232" s="230">
        <f t="shared" si="76"/>
        <v>-474</v>
      </c>
      <c r="L232" s="293">
        <f t="shared" si="76"/>
        <v>-0.20000000000000007</v>
      </c>
      <c r="M232" s="230">
        <f t="shared" si="76"/>
        <v>-647</v>
      </c>
      <c r="N232" s="293">
        <f t="shared" si="76"/>
        <v>-0.19999999999999973</v>
      </c>
      <c r="O232" s="230">
        <f t="shared" si="76"/>
        <v>-206</v>
      </c>
      <c r="P232" s="293">
        <f t="shared" si="76"/>
        <v>0</v>
      </c>
      <c r="Q232" s="230">
        <f t="shared" si="76"/>
        <v>-337</v>
      </c>
      <c r="R232" s="293">
        <f t="shared" si="76"/>
        <v>-0.20000000000000007</v>
      </c>
      <c r="S232" s="230">
        <f t="shared" si="76"/>
        <v>-330</v>
      </c>
      <c r="T232" s="293">
        <f t="shared" si="76"/>
        <v>-0.10000000000000009</v>
      </c>
      <c r="U232" s="230">
        <f t="shared" si="76"/>
        <v>-512</v>
      </c>
      <c r="V232" s="293">
        <f t="shared" si="76"/>
        <v>-9.9999999999999978E-2</v>
      </c>
      <c r="W232" s="230">
        <f t="shared" si="76"/>
        <v>-351</v>
      </c>
      <c r="X232" s="293">
        <f t="shared" si="76"/>
        <v>-9.9999999999999645E-2</v>
      </c>
      <c r="Y232" s="230">
        <f t="shared" si="76"/>
        <v>-700</v>
      </c>
      <c r="Z232" s="293">
        <f t="shared" si="76"/>
        <v>-0.30000000000000027</v>
      </c>
    </row>
    <row r="233" spans="1:26" x14ac:dyDescent="0.2">
      <c r="A233" s="699"/>
      <c r="B233" s="272" t="s">
        <v>378</v>
      </c>
      <c r="C233" s="230">
        <f t="shared" si="72"/>
        <v>0</v>
      </c>
      <c r="D233" s="293">
        <f t="shared" si="72"/>
        <v>0</v>
      </c>
      <c r="E233" s="230">
        <f t="shared" ref="E233:Z233" si="77">E222-E11</f>
        <v>0</v>
      </c>
      <c r="F233" s="293">
        <f t="shared" si="77"/>
        <v>0</v>
      </c>
      <c r="G233" s="230">
        <f t="shared" si="77"/>
        <v>0</v>
      </c>
      <c r="H233" s="293">
        <f t="shared" si="77"/>
        <v>0</v>
      </c>
      <c r="I233" s="230">
        <f t="shared" si="77"/>
        <v>0</v>
      </c>
      <c r="J233" s="293">
        <f t="shared" si="77"/>
        <v>0</v>
      </c>
      <c r="K233" s="230">
        <f t="shared" si="77"/>
        <v>0</v>
      </c>
      <c r="L233" s="293">
        <f t="shared" si="77"/>
        <v>0</v>
      </c>
      <c r="M233" s="230">
        <f t="shared" si="77"/>
        <v>0</v>
      </c>
      <c r="N233" s="293">
        <f t="shared" si="77"/>
        <v>0</v>
      </c>
      <c r="O233" s="230">
        <f t="shared" si="77"/>
        <v>0</v>
      </c>
      <c r="P233" s="293">
        <f t="shared" si="77"/>
        <v>0</v>
      </c>
      <c r="Q233" s="230">
        <f t="shared" si="77"/>
        <v>0</v>
      </c>
      <c r="R233" s="293">
        <f t="shared" si="77"/>
        <v>0</v>
      </c>
      <c r="S233" s="230">
        <f t="shared" si="77"/>
        <v>0</v>
      </c>
      <c r="T233" s="293">
        <f t="shared" si="77"/>
        <v>0</v>
      </c>
      <c r="U233" s="230">
        <f t="shared" si="77"/>
        <v>0</v>
      </c>
      <c r="V233" s="293">
        <f t="shared" si="77"/>
        <v>0</v>
      </c>
      <c r="W233" s="230">
        <f t="shared" si="77"/>
        <v>0</v>
      </c>
      <c r="X233" s="293">
        <f t="shared" si="77"/>
        <v>0</v>
      </c>
      <c r="Y233" s="230">
        <f t="shared" si="77"/>
        <v>0</v>
      </c>
      <c r="Z233" s="293">
        <f t="shared" si="77"/>
        <v>0</v>
      </c>
    </row>
    <row r="234" spans="1:26" x14ac:dyDescent="0.2">
      <c r="A234" s="699"/>
      <c r="B234" s="272" t="s">
        <v>379</v>
      </c>
      <c r="C234" s="230">
        <f t="shared" si="72"/>
        <v>0</v>
      </c>
      <c r="D234" s="293">
        <f t="shared" si="72"/>
        <v>0</v>
      </c>
      <c r="E234" s="230">
        <f t="shared" ref="E234:Z234" si="78">E223-E12</f>
        <v>0</v>
      </c>
      <c r="F234" s="293">
        <f t="shared" si="78"/>
        <v>0</v>
      </c>
      <c r="G234" s="230">
        <f t="shared" si="78"/>
        <v>0</v>
      </c>
      <c r="H234" s="293">
        <f t="shared" si="78"/>
        <v>0</v>
      </c>
      <c r="I234" s="230">
        <f t="shared" si="78"/>
        <v>0</v>
      </c>
      <c r="J234" s="293">
        <f t="shared" si="78"/>
        <v>0</v>
      </c>
      <c r="K234" s="230">
        <f t="shared" si="78"/>
        <v>0</v>
      </c>
      <c r="L234" s="293">
        <f t="shared" si="78"/>
        <v>0</v>
      </c>
      <c r="M234" s="230">
        <f t="shared" si="78"/>
        <v>0</v>
      </c>
      <c r="N234" s="293">
        <f t="shared" si="78"/>
        <v>0</v>
      </c>
      <c r="O234" s="230">
        <f t="shared" si="78"/>
        <v>0</v>
      </c>
      <c r="P234" s="293">
        <f t="shared" si="78"/>
        <v>0</v>
      </c>
      <c r="Q234" s="230">
        <f t="shared" si="78"/>
        <v>0</v>
      </c>
      <c r="R234" s="293">
        <f t="shared" si="78"/>
        <v>0</v>
      </c>
      <c r="S234" s="230">
        <f t="shared" si="78"/>
        <v>0</v>
      </c>
      <c r="T234" s="293">
        <f t="shared" si="78"/>
        <v>0</v>
      </c>
      <c r="U234" s="230">
        <f t="shared" si="78"/>
        <v>0</v>
      </c>
      <c r="V234" s="293">
        <f t="shared" si="78"/>
        <v>0</v>
      </c>
      <c r="W234" s="230">
        <f t="shared" si="78"/>
        <v>0</v>
      </c>
      <c r="X234" s="293">
        <f t="shared" si="78"/>
        <v>0</v>
      </c>
      <c r="Y234" s="230">
        <f t="shared" si="78"/>
        <v>0</v>
      </c>
      <c r="Z234" s="293">
        <f t="shared" si="78"/>
        <v>0</v>
      </c>
    </row>
    <row r="235" spans="1:26" x14ac:dyDescent="0.2">
      <c r="A235" s="699"/>
      <c r="B235" s="272" t="s">
        <v>380</v>
      </c>
      <c r="C235" s="230">
        <f t="shared" si="72"/>
        <v>0</v>
      </c>
      <c r="D235" s="293">
        <f t="shared" si="72"/>
        <v>0</v>
      </c>
      <c r="E235" s="230">
        <f t="shared" ref="E235:Z235" si="79">E224-E13</f>
        <v>0</v>
      </c>
      <c r="F235" s="293">
        <f t="shared" si="79"/>
        <v>0</v>
      </c>
      <c r="G235" s="230">
        <f t="shared" si="79"/>
        <v>0</v>
      </c>
      <c r="H235" s="293">
        <f t="shared" si="79"/>
        <v>0</v>
      </c>
      <c r="I235" s="230">
        <f t="shared" si="79"/>
        <v>0</v>
      </c>
      <c r="J235" s="293">
        <f t="shared" si="79"/>
        <v>0</v>
      </c>
      <c r="K235" s="230">
        <f t="shared" si="79"/>
        <v>0</v>
      </c>
      <c r="L235" s="293">
        <f t="shared" si="79"/>
        <v>0</v>
      </c>
      <c r="M235" s="230">
        <f t="shared" si="79"/>
        <v>0</v>
      </c>
      <c r="N235" s="293">
        <f t="shared" si="79"/>
        <v>0</v>
      </c>
      <c r="O235" s="230">
        <f t="shared" si="79"/>
        <v>0</v>
      </c>
      <c r="P235" s="293">
        <f t="shared" si="79"/>
        <v>0</v>
      </c>
      <c r="Q235" s="230">
        <f t="shared" si="79"/>
        <v>0</v>
      </c>
      <c r="R235" s="293">
        <f t="shared" si="79"/>
        <v>0</v>
      </c>
      <c r="S235" s="230">
        <f t="shared" si="79"/>
        <v>0</v>
      </c>
      <c r="T235" s="293">
        <f t="shared" si="79"/>
        <v>0</v>
      </c>
      <c r="U235" s="230">
        <f t="shared" si="79"/>
        <v>0</v>
      </c>
      <c r="V235" s="293">
        <f t="shared" si="79"/>
        <v>0</v>
      </c>
      <c r="W235" s="230">
        <f t="shared" si="79"/>
        <v>0</v>
      </c>
      <c r="X235" s="293">
        <f t="shared" si="79"/>
        <v>0</v>
      </c>
      <c r="Y235" s="230">
        <f t="shared" si="79"/>
        <v>0</v>
      </c>
      <c r="Z235" s="293">
        <f t="shared" si="79"/>
        <v>0</v>
      </c>
    </row>
    <row r="236" spans="1:26" x14ac:dyDescent="0.2">
      <c r="A236" s="699"/>
      <c r="B236" s="272" t="s">
        <v>381</v>
      </c>
      <c r="C236" s="230">
        <f t="shared" si="72"/>
        <v>0</v>
      </c>
      <c r="D236" s="293">
        <f t="shared" si="72"/>
        <v>0</v>
      </c>
      <c r="E236" s="230">
        <f t="shared" ref="E236:Z236" si="80">E225-E14</f>
        <v>0</v>
      </c>
      <c r="F236" s="293">
        <f t="shared" si="80"/>
        <v>0</v>
      </c>
      <c r="G236" s="230">
        <f t="shared" si="80"/>
        <v>0</v>
      </c>
      <c r="H236" s="293">
        <f t="shared" si="80"/>
        <v>0</v>
      </c>
      <c r="I236" s="230">
        <f t="shared" si="80"/>
        <v>0</v>
      </c>
      <c r="J236" s="293">
        <f t="shared" si="80"/>
        <v>0</v>
      </c>
      <c r="K236" s="230">
        <f t="shared" si="80"/>
        <v>0</v>
      </c>
      <c r="L236" s="293">
        <f t="shared" si="80"/>
        <v>0</v>
      </c>
      <c r="M236" s="230">
        <f t="shared" si="80"/>
        <v>0</v>
      </c>
      <c r="N236" s="293">
        <f t="shared" si="80"/>
        <v>0</v>
      </c>
      <c r="O236" s="230">
        <f t="shared" si="80"/>
        <v>0</v>
      </c>
      <c r="P236" s="293">
        <f t="shared" si="80"/>
        <v>0</v>
      </c>
      <c r="Q236" s="230">
        <f t="shared" si="80"/>
        <v>0</v>
      </c>
      <c r="R236" s="293">
        <f t="shared" si="80"/>
        <v>0</v>
      </c>
      <c r="S236" s="230">
        <f t="shared" si="80"/>
        <v>0</v>
      </c>
      <c r="T236" s="293">
        <f t="shared" si="80"/>
        <v>0</v>
      </c>
      <c r="U236" s="230">
        <f t="shared" si="80"/>
        <v>0</v>
      </c>
      <c r="V236" s="293">
        <f t="shared" si="80"/>
        <v>0</v>
      </c>
      <c r="W236" s="230">
        <f t="shared" si="80"/>
        <v>0</v>
      </c>
      <c r="X236" s="293">
        <f t="shared" si="80"/>
        <v>0</v>
      </c>
      <c r="Y236" s="230">
        <f t="shared" si="80"/>
        <v>0</v>
      </c>
      <c r="Z236" s="293">
        <f t="shared" si="80"/>
        <v>0</v>
      </c>
    </row>
    <row r="237" spans="1:26" s="20" customFormat="1" x14ac:dyDescent="0.2">
      <c r="A237" s="700"/>
      <c r="B237" s="274" t="s">
        <v>382</v>
      </c>
      <c r="C237" s="275">
        <f t="shared" si="72"/>
        <v>1353</v>
      </c>
      <c r="D237" s="294">
        <f t="shared" si="72"/>
        <v>8.5</v>
      </c>
      <c r="E237" s="275">
        <f t="shared" ref="E237:Z237" si="81">E226-E15</f>
        <v>6883</v>
      </c>
      <c r="F237" s="294">
        <f t="shared" si="81"/>
        <v>7.5999999999999943</v>
      </c>
      <c r="G237" s="275">
        <f t="shared" si="81"/>
        <v>4315</v>
      </c>
      <c r="H237" s="294">
        <f t="shared" si="81"/>
        <v>14.400000000000006</v>
      </c>
      <c r="I237" s="275">
        <f t="shared" si="81"/>
        <v>29283</v>
      </c>
      <c r="J237" s="294">
        <f t="shared" si="81"/>
        <v>8.2000000000000171</v>
      </c>
      <c r="K237" s="275">
        <f t="shared" si="81"/>
        <v>29646</v>
      </c>
      <c r="L237" s="294">
        <f t="shared" si="81"/>
        <v>12.400000000000006</v>
      </c>
      <c r="M237" s="275">
        <f t="shared" si="81"/>
        <v>30419</v>
      </c>
      <c r="N237" s="294">
        <f t="shared" si="81"/>
        <v>8.5</v>
      </c>
      <c r="O237" s="275">
        <f t="shared" si="81"/>
        <v>27039</v>
      </c>
      <c r="P237" s="294">
        <f t="shared" si="81"/>
        <v>7.5</v>
      </c>
      <c r="Q237" s="275">
        <f t="shared" si="81"/>
        <v>15880</v>
      </c>
      <c r="R237" s="294">
        <f t="shared" si="81"/>
        <v>6.5999999999999659</v>
      </c>
      <c r="S237" s="275">
        <f t="shared" si="81"/>
        <v>13437</v>
      </c>
      <c r="T237" s="294">
        <f t="shared" si="81"/>
        <v>5.5999999999999659</v>
      </c>
      <c r="U237" s="275">
        <f t="shared" si="81"/>
        <v>60835</v>
      </c>
      <c r="V237" s="294">
        <f t="shared" si="81"/>
        <v>19</v>
      </c>
      <c r="W237" s="275">
        <f t="shared" si="81"/>
        <v>28664</v>
      </c>
      <c r="X237" s="294">
        <f t="shared" si="81"/>
        <v>8</v>
      </c>
      <c r="Y237" s="275">
        <f t="shared" si="81"/>
        <v>25450</v>
      </c>
      <c r="Z237" s="294">
        <f t="shared" si="81"/>
        <v>10.599999999999994</v>
      </c>
    </row>
    <row r="238" spans="1:26" x14ac:dyDescent="0.2">
      <c r="A238" s="201"/>
      <c r="B238" s="201"/>
      <c r="D238" s="270"/>
    </row>
    <row r="239" spans="1:26" s="202" customFormat="1" ht="13.15" customHeight="1" x14ac:dyDescent="0.2">
      <c r="A239" s="698" t="s">
        <v>577</v>
      </c>
      <c r="B239" s="269" t="s">
        <v>488</v>
      </c>
      <c r="C239" s="368"/>
      <c r="D239" s="369"/>
      <c r="E239" s="368"/>
      <c r="F239" s="369"/>
      <c r="G239" s="304" t="s">
        <v>486</v>
      </c>
      <c r="H239" s="280" t="s">
        <v>487</v>
      </c>
      <c r="I239" s="304" t="s">
        <v>486</v>
      </c>
      <c r="J239" s="280" t="s">
        <v>487</v>
      </c>
      <c r="K239" s="304" t="s">
        <v>486</v>
      </c>
      <c r="L239" s="280" t="s">
        <v>487</v>
      </c>
      <c r="M239" s="304" t="s">
        <v>486</v>
      </c>
      <c r="N239" s="280" t="s">
        <v>487</v>
      </c>
      <c r="O239" s="304" t="s">
        <v>486</v>
      </c>
      <c r="P239" s="280" t="s">
        <v>487</v>
      </c>
      <c r="Q239" s="304" t="s">
        <v>486</v>
      </c>
      <c r="R239" s="280" t="s">
        <v>487</v>
      </c>
      <c r="S239" s="304" t="s">
        <v>486</v>
      </c>
      <c r="T239" s="280" t="s">
        <v>487</v>
      </c>
      <c r="U239" s="304" t="s">
        <v>486</v>
      </c>
      <c r="V239" s="280" t="s">
        <v>487</v>
      </c>
      <c r="W239" s="304" t="s">
        <v>486</v>
      </c>
      <c r="X239" s="280" t="s">
        <v>487</v>
      </c>
      <c r="Y239" s="304" t="s">
        <v>486</v>
      </c>
      <c r="Z239" s="314" t="s">
        <v>487</v>
      </c>
    </row>
    <row r="240" spans="1:26" x14ac:dyDescent="0.2">
      <c r="A240" s="699"/>
      <c r="B240" s="316" t="s">
        <v>289</v>
      </c>
      <c r="C240" s="372"/>
      <c r="D240" s="381"/>
      <c r="E240" s="372"/>
      <c r="F240" s="381"/>
      <c r="G240" s="319">
        <f>'6 Oversikt startpunkt'!D21</f>
        <v>10</v>
      </c>
      <c r="H240" s="214">
        <f>'3 Byggeår'!G83</f>
        <v>8</v>
      </c>
      <c r="I240" s="317">
        <f>'6 Oversikt startpunkt'!E21</f>
        <v>10</v>
      </c>
      <c r="J240" s="402">
        <f>'3 Byggeår'!H83</f>
        <v>8</v>
      </c>
      <c r="K240" s="214">
        <f>'6 Oversikt startpunkt'!F21</f>
        <v>12.5</v>
      </c>
      <c r="L240" s="214">
        <f>'3 Byggeår'!I83</f>
        <v>10</v>
      </c>
      <c r="M240" s="317">
        <f>'6 Oversikt startpunkt'!G21</f>
        <v>10</v>
      </c>
      <c r="N240" s="402">
        <f>'3 Byggeår'!J83</f>
        <v>8</v>
      </c>
      <c r="O240" s="214">
        <f>'6 Oversikt startpunkt'!H21</f>
        <v>10</v>
      </c>
      <c r="P240" s="214">
        <f>'3 Byggeår'!K83</f>
        <v>8</v>
      </c>
      <c r="Q240" s="317">
        <f>'6 Oversikt startpunkt'!I21</f>
        <v>10</v>
      </c>
      <c r="R240" s="402">
        <f>'3 Byggeår'!L83</f>
        <v>8</v>
      </c>
      <c r="S240" s="214">
        <f>'6 Oversikt startpunkt'!J21</f>
        <v>10</v>
      </c>
      <c r="T240" s="214">
        <f>'3 Byggeår'!M83</f>
        <v>8</v>
      </c>
      <c r="U240" s="317">
        <f>'6 Oversikt startpunkt'!K21</f>
        <v>10</v>
      </c>
      <c r="V240" s="402">
        <f>'3 Byggeår'!N83</f>
        <v>8</v>
      </c>
      <c r="W240" s="214">
        <f>'6 Oversikt startpunkt'!L21</f>
        <v>18.75</v>
      </c>
      <c r="X240" s="214">
        <f>'3 Byggeår'!O83</f>
        <v>15</v>
      </c>
      <c r="Y240" s="317">
        <f>'6 Oversikt startpunkt'!M21</f>
        <v>10</v>
      </c>
      <c r="Z240" s="402">
        <f>'3 Byggeår'!P83</f>
        <v>8</v>
      </c>
    </row>
    <row r="241" spans="1:26" s="216" customFormat="1" x14ac:dyDescent="0.2">
      <c r="A241" s="699"/>
      <c r="B241" s="288" t="s">
        <v>490</v>
      </c>
      <c r="C241" s="353"/>
      <c r="D241" s="374"/>
      <c r="E241" s="353"/>
      <c r="F241" s="354"/>
      <c r="G241" s="292" t="s">
        <v>372</v>
      </c>
      <c r="H241" s="290" t="s">
        <v>397</v>
      </c>
      <c r="I241" s="289" t="s">
        <v>372</v>
      </c>
      <c r="J241" s="291" t="s">
        <v>397</v>
      </c>
      <c r="K241" s="292" t="s">
        <v>372</v>
      </c>
      <c r="L241" s="290" t="s">
        <v>397</v>
      </c>
      <c r="M241" s="289" t="s">
        <v>372</v>
      </c>
      <c r="N241" s="290" t="s">
        <v>397</v>
      </c>
      <c r="O241" s="289" t="s">
        <v>372</v>
      </c>
      <c r="P241" s="290" t="s">
        <v>397</v>
      </c>
      <c r="Q241" s="289" t="s">
        <v>372</v>
      </c>
      <c r="R241" s="290" t="s">
        <v>397</v>
      </c>
      <c r="S241" s="289" t="s">
        <v>372</v>
      </c>
      <c r="T241" s="290" t="s">
        <v>397</v>
      </c>
      <c r="U241" s="289" t="s">
        <v>372</v>
      </c>
      <c r="V241" s="290" t="s">
        <v>397</v>
      </c>
      <c r="W241" s="289" t="s">
        <v>372</v>
      </c>
      <c r="X241" s="290" t="s">
        <v>397</v>
      </c>
      <c r="Y241" s="289" t="s">
        <v>372</v>
      </c>
      <c r="Z241" s="291" t="s">
        <v>397</v>
      </c>
    </row>
    <row r="242" spans="1:26" x14ac:dyDescent="0.2">
      <c r="A242" s="699"/>
      <c r="B242" s="272" t="s">
        <v>373</v>
      </c>
      <c r="C242" s="355"/>
      <c r="D242" s="375"/>
      <c r="E242" s="355"/>
      <c r="F242" s="376"/>
      <c r="G242" s="285">
        <v>32187</v>
      </c>
      <c r="H242" s="231">
        <v>107.3</v>
      </c>
      <c r="I242" s="230">
        <v>164915</v>
      </c>
      <c r="J242" s="273">
        <v>45.8</v>
      </c>
      <c r="K242" s="285">
        <v>161430</v>
      </c>
      <c r="L242" s="231">
        <v>67.3</v>
      </c>
      <c r="M242" s="230">
        <v>184012</v>
      </c>
      <c r="N242" s="231">
        <v>51.1</v>
      </c>
      <c r="O242" s="230">
        <v>329697</v>
      </c>
      <c r="P242" s="231">
        <v>91.6</v>
      </c>
      <c r="Q242" s="230">
        <v>202065</v>
      </c>
      <c r="R242" s="231">
        <v>84.2</v>
      </c>
      <c r="S242" s="230">
        <v>242318</v>
      </c>
      <c r="T242" s="231">
        <v>101</v>
      </c>
      <c r="U242" s="230">
        <v>311505</v>
      </c>
      <c r="V242" s="231">
        <v>97.3</v>
      </c>
      <c r="W242" s="230">
        <v>261455</v>
      </c>
      <c r="X242" s="231">
        <v>72.599999999999994</v>
      </c>
      <c r="Y242" s="230">
        <v>233995</v>
      </c>
      <c r="Z242" s="273">
        <v>97.5</v>
      </c>
    </row>
    <row r="243" spans="1:26" x14ac:dyDescent="0.2">
      <c r="A243" s="699"/>
      <c r="B243" s="272" t="s">
        <v>374</v>
      </c>
      <c r="C243" s="355"/>
      <c r="D243" s="375"/>
      <c r="E243" s="355"/>
      <c r="F243" s="376"/>
      <c r="G243" s="285">
        <v>1985</v>
      </c>
      <c r="H243" s="231">
        <v>6.6</v>
      </c>
      <c r="I243" s="230">
        <v>24289</v>
      </c>
      <c r="J243" s="273">
        <v>6.7</v>
      </c>
      <c r="K243" s="285">
        <v>19948</v>
      </c>
      <c r="L243" s="231">
        <v>8.3000000000000007</v>
      </c>
      <c r="M243" s="230">
        <v>31669</v>
      </c>
      <c r="N243" s="231">
        <v>8.8000000000000007</v>
      </c>
      <c r="O243" s="230">
        <v>90464</v>
      </c>
      <c r="P243" s="231">
        <v>25.1</v>
      </c>
      <c r="Q243" s="230">
        <v>56874</v>
      </c>
      <c r="R243" s="231">
        <v>23.7</v>
      </c>
      <c r="S243" s="230">
        <v>28985</v>
      </c>
      <c r="T243" s="231">
        <v>12.1</v>
      </c>
      <c r="U243" s="230">
        <v>53385</v>
      </c>
      <c r="V243" s="231">
        <v>16.7</v>
      </c>
      <c r="W243" s="230">
        <v>51429</v>
      </c>
      <c r="X243" s="231">
        <v>14.3</v>
      </c>
      <c r="Y243" s="230">
        <v>15475</v>
      </c>
      <c r="Z243" s="273">
        <v>6.4</v>
      </c>
    </row>
    <row r="244" spans="1:26" x14ac:dyDescent="0.2">
      <c r="A244" s="699"/>
      <c r="B244" s="272" t="s">
        <v>375</v>
      </c>
      <c r="C244" s="355"/>
      <c r="D244" s="375"/>
      <c r="E244" s="355"/>
      <c r="F244" s="376"/>
      <c r="G244" s="285">
        <v>3007</v>
      </c>
      <c r="H244" s="231">
        <v>10</v>
      </c>
      <c r="I244" s="230">
        <v>18040</v>
      </c>
      <c r="J244" s="273">
        <v>5</v>
      </c>
      <c r="K244" s="285">
        <v>23530</v>
      </c>
      <c r="L244" s="231">
        <v>9.8000000000000007</v>
      </c>
      <c r="M244" s="230">
        <v>18040</v>
      </c>
      <c r="N244" s="231">
        <v>5</v>
      </c>
      <c r="O244" s="230">
        <v>107170</v>
      </c>
      <c r="P244" s="231">
        <v>29.8</v>
      </c>
      <c r="Q244" s="230">
        <v>71482</v>
      </c>
      <c r="R244" s="231">
        <v>29.8</v>
      </c>
      <c r="S244" s="230">
        <v>71482</v>
      </c>
      <c r="T244" s="231">
        <v>29.8</v>
      </c>
      <c r="U244" s="230">
        <v>156864</v>
      </c>
      <c r="V244" s="231">
        <v>49</v>
      </c>
      <c r="W244" s="230">
        <v>36408</v>
      </c>
      <c r="X244" s="231">
        <v>10.1</v>
      </c>
      <c r="Y244" s="230">
        <v>24054</v>
      </c>
      <c r="Z244" s="273">
        <v>10</v>
      </c>
    </row>
    <row r="245" spans="1:26" x14ac:dyDescent="0.2">
      <c r="A245" s="699"/>
      <c r="B245" s="272" t="s">
        <v>376</v>
      </c>
      <c r="C245" s="355"/>
      <c r="D245" s="375"/>
      <c r="E245" s="355"/>
      <c r="F245" s="376"/>
      <c r="G245" s="285">
        <v>7830</v>
      </c>
      <c r="H245" s="231">
        <v>26.1</v>
      </c>
      <c r="I245" s="230">
        <v>93974</v>
      </c>
      <c r="J245" s="273">
        <v>26.1</v>
      </c>
      <c r="K245" s="285">
        <v>68800</v>
      </c>
      <c r="L245" s="231">
        <v>28.7</v>
      </c>
      <c r="M245" s="230">
        <v>122166</v>
      </c>
      <c r="N245" s="231">
        <v>33.9</v>
      </c>
      <c r="O245" s="230">
        <v>292652</v>
      </c>
      <c r="P245" s="231">
        <v>81.3</v>
      </c>
      <c r="Q245" s="230">
        <v>171598</v>
      </c>
      <c r="R245" s="231">
        <v>71.5</v>
      </c>
      <c r="S245" s="230">
        <v>116800</v>
      </c>
      <c r="T245" s="231">
        <v>48.7</v>
      </c>
      <c r="U245" s="230">
        <v>82560</v>
      </c>
      <c r="V245" s="231">
        <v>25.8</v>
      </c>
      <c r="W245" s="230">
        <v>224688</v>
      </c>
      <c r="X245" s="231">
        <v>62.4</v>
      </c>
      <c r="Y245" s="230">
        <v>68904</v>
      </c>
      <c r="Z245" s="273">
        <v>28.7</v>
      </c>
    </row>
    <row r="246" spans="1:26" x14ac:dyDescent="0.2">
      <c r="A246" s="699"/>
      <c r="B246" s="272" t="s">
        <v>377</v>
      </c>
      <c r="C246" s="355"/>
      <c r="D246" s="375"/>
      <c r="E246" s="355"/>
      <c r="F246" s="376"/>
      <c r="G246" s="285">
        <v>326</v>
      </c>
      <c r="H246" s="231">
        <v>1.1000000000000001</v>
      </c>
      <c r="I246" s="230">
        <v>7495</v>
      </c>
      <c r="J246" s="273">
        <v>2.1</v>
      </c>
      <c r="K246" s="285">
        <v>2162</v>
      </c>
      <c r="L246" s="231">
        <v>0.9</v>
      </c>
      <c r="M246" s="230">
        <v>8652</v>
      </c>
      <c r="N246" s="231">
        <v>2.4</v>
      </c>
      <c r="O246" s="230">
        <v>10555</v>
      </c>
      <c r="P246" s="231">
        <v>2.9</v>
      </c>
      <c r="Q246" s="230">
        <v>1928</v>
      </c>
      <c r="R246" s="231">
        <v>0.8</v>
      </c>
      <c r="S246" s="230">
        <v>5386</v>
      </c>
      <c r="T246" s="231">
        <v>2.2000000000000002</v>
      </c>
      <c r="U246" s="230">
        <v>3310</v>
      </c>
      <c r="V246" s="231">
        <v>1</v>
      </c>
      <c r="W246" s="230">
        <v>12050</v>
      </c>
      <c r="X246" s="231">
        <v>3.3</v>
      </c>
      <c r="Y246" s="230">
        <v>6322</v>
      </c>
      <c r="Z246" s="273">
        <v>2.6</v>
      </c>
    </row>
    <row r="247" spans="1:26" x14ac:dyDescent="0.2">
      <c r="A247" s="699"/>
      <c r="B247" s="272" t="s">
        <v>378</v>
      </c>
      <c r="C247" s="355"/>
      <c r="D247" s="375"/>
      <c r="E247" s="355"/>
      <c r="F247" s="376"/>
      <c r="G247" s="285">
        <v>6264</v>
      </c>
      <c r="H247" s="231">
        <v>20.9</v>
      </c>
      <c r="I247" s="230">
        <v>90202</v>
      </c>
      <c r="J247" s="273">
        <v>25.1</v>
      </c>
      <c r="K247" s="285">
        <v>51600</v>
      </c>
      <c r="L247" s="231">
        <v>21.5</v>
      </c>
      <c r="M247" s="230">
        <v>90202</v>
      </c>
      <c r="N247" s="231">
        <v>25.1</v>
      </c>
      <c r="O247" s="230">
        <v>168192</v>
      </c>
      <c r="P247" s="231">
        <v>46.7</v>
      </c>
      <c r="Q247" s="230">
        <v>112128</v>
      </c>
      <c r="R247" s="231">
        <v>46.7</v>
      </c>
      <c r="S247" s="230">
        <v>112128</v>
      </c>
      <c r="T247" s="231">
        <v>46.7</v>
      </c>
      <c r="U247" s="230">
        <v>66048</v>
      </c>
      <c r="V247" s="231">
        <v>20.6</v>
      </c>
      <c r="W247" s="230">
        <v>202216</v>
      </c>
      <c r="X247" s="231">
        <v>56.2</v>
      </c>
      <c r="Y247" s="230">
        <v>55123</v>
      </c>
      <c r="Z247" s="273">
        <v>23</v>
      </c>
    </row>
    <row r="248" spans="1:26" x14ac:dyDescent="0.2">
      <c r="A248" s="699"/>
      <c r="B248" s="272" t="s">
        <v>379</v>
      </c>
      <c r="C248" s="355"/>
      <c r="D248" s="375"/>
      <c r="E248" s="355"/>
      <c r="F248" s="376"/>
      <c r="G248" s="285">
        <v>1566</v>
      </c>
      <c r="H248" s="231">
        <v>5.2</v>
      </c>
      <c r="I248" s="230">
        <v>124050</v>
      </c>
      <c r="J248" s="273">
        <v>34.5</v>
      </c>
      <c r="K248" s="285">
        <v>30960</v>
      </c>
      <c r="L248" s="231">
        <v>12.9</v>
      </c>
      <c r="M248" s="230">
        <v>124050</v>
      </c>
      <c r="N248" s="231">
        <v>34.5</v>
      </c>
      <c r="O248" s="230">
        <v>168192</v>
      </c>
      <c r="P248" s="231">
        <v>46.7</v>
      </c>
      <c r="Q248" s="230">
        <v>56064</v>
      </c>
      <c r="R248" s="231">
        <v>23.4</v>
      </c>
      <c r="S248" s="230">
        <v>14016</v>
      </c>
      <c r="T248" s="231">
        <v>5.8</v>
      </c>
      <c r="U248" s="230">
        <v>8256</v>
      </c>
      <c r="V248" s="231">
        <v>2.6</v>
      </c>
      <c r="W248" s="230">
        <v>13478</v>
      </c>
      <c r="X248" s="231">
        <v>3.7</v>
      </c>
      <c r="Y248" s="230">
        <v>6890</v>
      </c>
      <c r="Z248" s="273">
        <v>2.9</v>
      </c>
    </row>
    <row r="249" spans="1:26" x14ac:dyDescent="0.2">
      <c r="A249" s="699"/>
      <c r="B249" s="272" t="s">
        <v>380</v>
      </c>
      <c r="C249" s="355"/>
      <c r="D249" s="375"/>
      <c r="E249" s="377"/>
      <c r="F249" s="376"/>
      <c r="G249" s="285">
        <v>0</v>
      </c>
      <c r="H249" s="231">
        <v>0</v>
      </c>
      <c r="I249" s="230">
        <v>0</v>
      </c>
      <c r="J249" s="273">
        <v>0</v>
      </c>
      <c r="K249" s="285">
        <v>0</v>
      </c>
      <c r="L249" s="231">
        <v>0</v>
      </c>
      <c r="M249" s="230">
        <v>0</v>
      </c>
      <c r="N249" s="231">
        <v>0</v>
      </c>
      <c r="O249" s="230">
        <v>0</v>
      </c>
      <c r="P249" s="231">
        <v>0</v>
      </c>
      <c r="Q249" s="230">
        <v>0</v>
      </c>
      <c r="R249" s="231">
        <v>0</v>
      </c>
      <c r="S249" s="230">
        <v>0</v>
      </c>
      <c r="T249" s="231">
        <v>0</v>
      </c>
      <c r="U249" s="230">
        <v>0</v>
      </c>
      <c r="V249" s="231">
        <v>0</v>
      </c>
      <c r="W249" s="230">
        <v>0</v>
      </c>
      <c r="X249" s="231">
        <v>0</v>
      </c>
      <c r="Y249" s="230">
        <v>0</v>
      </c>
      <c r="Z249" s="273">
        <v>0</v>
      </c>
    </row>
    <row r="250" spans="1:26" x14ac:dyDescent="0.2">
      <c r="A250" s="699"/>
      <c r="B250" s="272" t="s">
        <v>381</v>
      </c>
      <c r="C250" s="355"/>
      <c r="D250" s="375"/>
      <c r="E250" s="377"/>
      <c r="F250" s="376"/>
      <c r="G250" s="285">
        <v>0</v>
      </c>
      <c r="H250" s="231">
        <v>0</v>
      </c>
      <c r="I250" s="230">
        <v>20235</v>
      </c>
      <c r="J250" s="273">
        <v>5.6</v>
      </c>
      <c r="K250" s="285">
        <v>0</v>
      </c>
      <c r="L250" s="231">
        <v>0</v>
      </c>
      <c r="M250" s="230">
        <v>26017</v>
      </c>
      <c r="N250" s="231">
        <v>7.2</v>
      </c>
      <c r="O250" s="230">
        <v>51513</v>
      </c>
      <c r="P250" s="231">
        <v>14.3</v>
      </c>
      <c r="Q250" s="230">
        <v>0</v>
      </c>
      <c r="R250" s="231">
        <v>0</v>
      </c>
      <c r="S250" s="230">
        <v>22800</v>
      </c>
      <c r="T250" s="231">
        <v>9.5</v>
      </c>
      <c r="U250" s="230">
        <v>0</v>
      </c>
      <c r="V250" s="231">
        <v>0</v>
      </c>
      <c r="W250" s="230">
        <v>53219</v>
      </c>
      <c r="X250" s="231">
        <v>14.8</v>
      </c>
      <c r="Y250" s="230">
        <v>17590</v>
      </c>
      <c r="Z250" s="273">
        <v>7.3</v>
      </c>
    </row>
    <row r="251" spans="1:26" s="20" customFormat="1" x14ac:dyDescent="0.2">
      <c r="A251" s="699"/>
      <c r="B251" s="274" t="s">
        <v>382</v>
      </c>
      <c r="C251" s="357"/>
      <c r="D251" s="378"/>
      <c r="E251" s="357"/>
      <c r="F251" s="379"/>
      <c r="G251" s="286">
        <v>53164</v>
      </c>
      <c r="H251" s="276">
        <v>177.2</v>
      </c>
      <c r="I251" s="275">
        <v>543201</v>
      </c>
      <c r="J251" s="279">
        <v>150.9</v>
      </c>
      <c r="K251" s="286">
        <v>358429</v>
      </c>
      <c r="L251" s="276">
        <v>149.30000000000001</v>
      </c>
      <c r="M251" s="275">
        <v>604808</v>
      </c>
      <c r="N251" s="276">
        <v>168</v>
      </c>
      <c r="O251" s="275">
        <v>1218435</v>
      </c>
      <c r="P251" s="276">
        <v>338.5</v>
      </c>
      <c r="Q251" s="275">
        <v>672138</v>
      </c>
      <c r="R251" s="276">
        <v>280.10000000000002</v>
      </c>
      <c r="S251" s="275">
        <v>613914</v>
      </c>
      <c r="T251" s="276">
        <v>255.8</v>
      </c>
      <c r="U251" s="275">
        <v>681928</v>
      </c>
      <c r="V251" s="276">
        <v>213.1</v>
      </c>
      <c r="W251" s="275">
        <v>854944</v>
      </c>
      <c r="X251" s="276">
        <v>237.5</v>
      </c>
      <c r="Y251" s="275">
        <v>428354</v>
      </c>
      <c r="Z251" s="279">
        <v>178.5</v>
      </c>
    </row>
    <row r="252" spans="1:26" s="216" customFormat="1" x14ac:dyDescent="0.2">
      <c r="A252" s="699"/>
      <c r="B252" s="283" t="s">
        <v>491</v>
      </c>
      <c r="C252" s="353"/>
      <c r="D252" s="354"/>
      <c r="E252" s="353"/>
      <c r="F252" s="354"/>
      <c r="G252" s="289" t="s">
        <v>372</v>
      </c>
      <c r="H252" s="291" t="s">
        <v>397</v>
      </c>
      <c r="I252" s="289" t="s">
        <v>372</v>
      </c>
      <c r="J252" s="291" t="s">
        <v>397</v>
      </c>
      <c r="K252" s="289" t="s">
        <v>372</v>
      </c>
      <c r="L252" s="291" t="s">
        <v>397</v>
      </c>
      <c r="M252" s="289" t="s">
        <v>372</v>
      </c>
      <c r="N252" s="291" t="s">
        <v>397</v>
      </c>
      <c r="O252" s="289" t="s">
        <v>372</v>
      </c>
      <c r="P252" s="291" t="s">
        <v>397</v>
      </c>
      <c r="Q252" s="289" t="s">
        <v>372</v>
      </c>
      <c r="R252" s="291" t="s">
        <v>397</v>
      </c>
      <c r="S252" s="289" t="s">
        <v>372</v>
      </c>
      <c r="T252" s="291" t="s">
        <v>397</v>
      </c>
      <c r="U252" s="289" t="s">
        <v>372</v>
      </c>
      <c r="V252" s="291" t="s">
        <v>397</v>
      </c>
      <c r="W252" s="289" t="s">
        <v>372</v>
      </c>
      <c r="X252" s="291" t="s">
        <v>397</v>
      </c>
      <c r="Y252" s="289" t="s">
        <v>372</v>
      </c>
      <c r="Z252" s="291" t="s">
        <v>397</v>
      </c>
    </row>
    <row r="253" spans="1:26" x14ac:dyDescent="0.2">
      <c r="A253" s="699"/>
      <c r="B253" s="272" t="s">
        <v>373</v>
      </c>
      <c r="C253" s="355"/>
      <c r="D253" s="356"/>
      <c r="E253" s="355"/>
      <c r="F253" s="356"/>
      <c r="G253" s="230">
        <f t="shared" ref="G253:Z253" si="82">G$6-G242</f>
        <v>-1163</v>
      </c>
      <c r="H253" s="293">
        <f t="shared" si="82"/>
        <v>-3.8999999999999915</v>
      </c>
      <c r="I253" s="230">
        <f t="shared" si="82"/>
        <v>-14029</v>
      </c>
      <c r="J253" s="293">
        <f t="shared" si="82"/>
        <v>-3.8999999999999986</v>
      </c>
      <c r="K253" s="230">
        <f t="shared" si="82"/>
        <v>-10062</v>
      </c>
      <c r="L253" s="293">
        <f t="shared" si="82"/>
        <v>-4.1999999999999957</v>
      </c>
      <c r="M253" s="230">
        <f t="shared" si="82"/>
        <v>-16229</v>
      </c>
      <c r="N253" s="293">
        <f t="shared" si="82"/>
        <v>-4.5</v>
      </c>
      <c r="O253" s="230">
        <f t="shared" si="82"/>
        <v>-38324</v>
      </c>
      <c r="P253" s="293">
        <f t="shared" si="82"/>
        <v>-10.699999999999989</v>
      </c>
      <c r="Q253" s="230">
        <f t="shared" si="82"/>
        <v>-22416</v>
      </c>
      <c r="R253" s="293">
        <f t="shared" si="82"/>
        <v>-9.2999999999999972</v>
      </c>
      <c r="S253" s="230">
        <f t="shared" si="82"/>
        <v>-25519</v>
      </c>
      <c r="T253" s="293">
        <f t="shared" si="82"/>
        <v>-10.700000000000003</v>
      </c>
      <c r="U253" s="230">
        <f t="shared" si="82"/>
        <v>-12850</v>
      </c>
      <c r="V253" s="293">
        <f t="shared" si="82"/>
        <v>-4</v>
      </c>
      <c r="W253" s="230">
        <f t="shared" si="82"/>
        <v>-44197</v>
      </c>
      <c r="X253" s="293">
        <f t="shared" si="82"/>
        <v>-12.299999999999997</v>
      </c>
      <c r="Y253" s="230">
        <f t="shared" si="82"/>
        <v>-12589</v>
      </c>
      <c r="Z253" s="293">
        <f t="shared" si="82"/>
        <v>-5.2000000000000028</v>
      </c>
    </row>
    <row r="254" spans="1:26" x14ac:dyDescent="0.2">
      <c r="A254" s="699"/>
      <c r="B254" s="272" t="s">
        <v>374</v>
      </c>
      <c r="C254" s="355"/>
      <c r="D254" s="356"/>
      <c r="E254" s="355"/>
      <c r="F254" s="356"/>
      <c r="G254" s="230">
        <f t="shared" ref="G254:Z254" si="83">G$7-G243</f>
        <v>-2</v>
      </c>
      <c r="H254" s="293">
        <f t="shared" si="83"/>
        <v>0</v>
      </c>
      <c r="I254" s="230">
        <f t="shared" si="83"/>
        <v>-67</v>
      </c>
      <c r="J254" s="293">
        <f t="shared" si="83"/>
        <v>0</v>
      </c>
      <c r="K254" s="230">
        <f t="shared" si="83"/>
        <v>-22</v>
      </c>
      <c r="L254" s="293">
        <f t="shared" si="83"/>
        <v>0</v>
      </c>
      <c r="M254" s="230">
        <f t="shared" si="83"/>
        <v>-56</v>
      </c>
      <c r="N254" s="293">
        <f t="shared" si="83"/>
        <v>0</v>
      </c>
      <c r="O254" s="230">
        <f t="shared" si="83"/>
        <v>-299</v>
      </c>
      <c r="P254" s="293">
        <f t="shared" si="83"/>
        <v>-0.10000000000000142</v>
      </c>
      <c r="Q254" s="230">
        <f t="shared" si="83"/>
        <v>-292</v>
      </c>
      <c r="R254" s="293">
        <f t="shared" si="83"/>
        <v>-9.9999999999997868E-2</v>
      </c>
      <c r="S254" s="230">
        <f t="shared" si="83"/>
        <v>-14</v>
      </c>
      <c r="T254" s="293">
        <f t="shared" si="83"/>
        <v>0</v>
      </c>
      <c r="U254" s="230">
        <f t="shared" si="83"/>
        <v>-143</v>
      </c>
      <c r="V254" s="293">
        <f t="shared" si="83"/>
        <v>-9.9999999999997868E-2</v>
      </c>
      <c r="W254" s="230">
        <f t="shared" si="83"/>
        <v>-75</v>
      </c>
      <c r="X254" s="293">
        <f t="shared" si="83"/>
        <v>0</v>
      </c>
      <c r="Y254" s="230">
        <f t="shared" si="83"/>
        <v>-6</v>
      </c>
      <c r="Z254" s="293">
        <f t="shared" si="83"/>
        <v>0</v>
      </c>
    </row>
    <row r="255" spans="1:26" x14ac:dyDescent="0.2">
      <c r="A255" s="699"/>
      <c r="B255" s="272" t="s">
        <v>375</v>
      </c>
      <c r="C255" s="355"/>
      <c r="D255" s="356"/>
      <c r="E255" s="355"/>
      <c r="F255" s="356"/>
      <c r="G255" s="230">
        <f t="shared" ref="G255:Z255" si="84">G$8-G244</f>
        <v>0</v>
      </c>
      <c r="H255" s="293">
        <f t="shared" si="84"/>
        <v>0</v>
      </c>
      <c r="I255" s="230">
        <f t="shared" si="84"/>
        <v>0</v>
      </c>
      <c r="J255" s="293">
        <f t="shared" si="84"/>
        <v>0</v>
      </c>
      <c r="K255" s="230">
        <f t="shared" si="84"/>
        <v>0</v>
      </c>
      <c r="L255" s="293">
        <f t="shared" si="84"/>
        <v>0</v>
      </c>
      <c r="M255" s="230">
        <f t="shared" si="84"/>
        <v>0</v>
      </c>
      <c r="N255" s="293">
        <f t="shared" si="84"/>
        <v>0</v>
      </c>
      <c r="O255" s="230">
        <f t="shared" si="84"/>
        <v>0</v>
      </c>
      <c r="P255" s="293">
        <f t="shared" si="84"/>
        <v>0</v>
      </c>
      <c r="Q255" s="230">
        <f t="shared" si="84"/>
        <v>0</v>
      </c>
      <c r="R255" s="293">
        <f t="shared" si="84"/>
        <v>0</v>
      </c>
      <c r="S255" s="230">
        <f t="shared" si="84"/>
        <v>0</v>
      </c>
      <c r="T255" s="293">
        <f t="shared" si="84"/>
        <v>0</v>
      </c>
      <c r="U255" s="230">
        <f t="shared" si="84"/>
        <v>0</v>
      </c>
      <c r="V255" s="293">
        <f t="shared" si="84"/>
        <v>0</v>
      </c>
      <c r="W255" s="230">
        <f t="shared" si="84"/>
        <v>0</v>
      </c>
      <c r="X255" s="293">
        <f t="shared" si="84"/>
        <v>0</v>
      </c>
      <c r="Y255" s="230">
        <f t="shared" si="84"/>
        <v>0</v>
      </c>
      <c r="Z255" s="293">
        <f t="shared" si="84"/>
        <v>0</v>
      </c>
    </row>
    <row r="256" spans="1:26" x14ac:dyDescent="0.2">
      <c r="A256" s="699"/>
      <c r="B256" s="272" t="s">
        <v>376</v>
      </c>
      <c r="C256" s="355"/>
      <c r="D256" s="356"/>
      <c r="E256" s="355"/>
      <c r="F256" s="356"/>
      <c r="G256" s="230">
        <f t="shared" ref="G256:Z256" si="85">G$9-G245</f>
        <v>0</v>
      </c>
      <c r="H256" s="293">
        <f t="shared" si="85"/>
        <v>0</v>
      </c>
      <c r="I256" s="230">
        <f t="shared" si="85"/>
        <v>0</v>
      </c>
      <c r="J256" s="293">
        <f t="shared" si="85"/>
        <v>0</v>
      </c>
      <c r="K256" s="230">
        <f t="shared" si="85"/>
        <v>0</v>
      </c>
      <c r="L256" s="293">
        <f t="shared" si="85"/>
        <v>0</v>
      </c>
      <c r="M256" s="230">
        <f t="shared" si="85"/>
        <v>0</v>
      </c>
      <c r="N256" s="293">
        <f t="shared" si="85"/>
        <v>0</v>
      </c>
      <c r="O256" s="230">
        <f t="shared" si="85"/>
        <v>0</v>
      </c>
      <c r="P256" s="293">
        <f t="shared" si="85"/>
        <v>0</v>
      </c>
      <c r="Q256" s="230">
        <f t="shared" si="85"/>
        <v>0</v>
      </c>
      <c r="R256" s="293">
        <f t="shared" si="85"/>
        <v>0</v>
      </c>
      <c r="S256" s="230">
        <f t="shared" si="85"/>
        <v>0</v>
      </c>
      <c r="T256" s="293">
        <f t="shared" si="85"/>
        <v>0</v>
      </c>
      <c r="U256" s="230">
        <f t="shared" si="85"/>
        <v>0</v>
      </c>
      <c r="V256" s="293">
        <f t="shared" si="85"/>
        <v>0</v>
      </c>
      <c r="W256" s="230">
        <f t="shared" si="85"/>
        <v>0</v>
      </c>
      <c r="X256" s="293">
        <f t="shared" si="85"/>
        <v>0</v>
      </c>
      <c r="Y256" s="230">
        <f t="shared" si="85"/>
        <v>0</v>
      </c>
      <c r="Z256" s="293">
        <f t="shared" si="85"/>
        <v>0</v>
      </c>
    </row>
    <row r="257" spans="1:26" x14ac:dyDescent="0.2">
      <c r="A257" s="699"/>
      <c r="B257" s="272" t="s">
        <v>377</v>
      </c>
      <c r="C257" s="355"/>
      <c r="D257" s="356"/>
      <c r="E257" s="355"/>
      <c r="F257" s="356"/>
      <c r="G257" s="230">
        <f t="shared" ref="G257:Z257" si="86">G$10-G246</f>
        <v>-5</v>
      </c>
      <c r="H257" s="293">
        <f t="shared" si="86"/>
        <v>0</v>
      </c>
      <c r="I257" s="230">
        <f t="shared" si="86"/>
        <v>-54</v>
      </c>
      <c r="J257" s="293">
        <f t="shared" si="86"/>
        <v>0</v>
      </c>
      <c r="K257" s="230">
        <f t="shared" si="86"/>
        <v>-43</v>
      </c>
      <c r="L257" s="293">
        <f t="shared" si="86"/>
        <v>0</v>
      </c>
      <c r="M257" s="230">
        <f t="shared" si="86"/>
        <v>-54</v>
      </c>
      <c r="N257" s="293">
        <f t="shared" si="86"/>
        <v>0</v>
      </c>
      <c r="O257" s="230">
        <f t="shared" si="86"/>
        <v>-74</v>
      </c>
      <c r="P257" s="293">
        <f t="shared" si="86"/>
        <v>0</v>
      </c>
      <c r="Q257" s="230">
        <f t="shared" si="86"/>
        <v>-50</v>
      </c>
      <c r="R257" s="293">
        <f t="shared" si="86"/>
        <v>0</v>
      </c>
      <c r="S257" s="230">
        <f t="shared" si="86"/>
        <v>-50</v>
      </c>
      <c r="T257" s="293">
        <f t="shared" si="86"/>
        <v>0</v>
      </c>
      <c r="U257" s="230">
        <f t="shared" si="86"/>
        <v>-48</v>
      </c>
      <c r="V257" s="293">
        <f t="shared" si="86"/>
        <v>0</v>
      </c>
      <c r="W257" s="230">
        <f t="shared" si="86"/>
        <v>-103</v>
      </c>
      <c r="X257" s="293">
        <f t="shared" si="86"/>
        <v>0</v>
      </c>
      <c r="Y257" s="230">
        <f t="shared" si="86"/>
        <v>-34</v>
      </c>
      <c r="Z257" s="293">
        <f t="shared" si="86"/>
        <v>0</v>
      </c>
    </row>
    <row r="258" spans="1:26" x14ac:dyDescent="0.2">
      <c r="A258" s="699"/>
      <c r="B258" s="272" t="s">
        <v>378</v>
      </c>
      <c r="C258" s="355"/>
      <c r="D258" s="356"/>
      <c r="E258" s="355"/>
      <c r="F258" s="356"/>
      <c r="G258" s="230">
        <f t="shared" ref="G258:Z258" si="87">G$11-G247</f>
        <v>1566</v>
      </c>
      <c r="H258" s="293">
        <f t="shared" si="87"/>
        <v>5.2000000000000028</v>
      </c>
      <c r="I258" s="230">
        <f t="shared" si="87"/>
        <v>22550</v>
      </c>
      <c r="J258" s="293">
        <f t="shared" si="87"/>
        <v>6.1999999999999993</v>
      </c>
      <c r="K258" s="230">
        <f t="shared" si="87"/>
        <v>12900</v>
      </c>
      <c r="L258" s="293">
        <f t="shared" si="87"/>
        <v>5.3999999999999986</v>
      </c>
      <c r="M258" s="230">
        <f t="shared" si="87"/>
        <v>22550</v>
      </c>
      <c r="N258" s="293">
        <f t="shared" si="87"/>
        <v>6.1999999999999993</v>
      </c>
      <c r="O258" s="230">
        <f t="shared" si="87"/>
        <v>41980</v>
      </c>
      <c r="P258" s="293">
        <f t="shared" si="87"/>
        <v>11.699999999999996</v>
      </c>
      <c r="Q258" s="230">
        <f t="shared" si="87"/>
        <v>28032</v>
      </c>
      <c r="R258" s="293">
        <f t="shared" si="87"/>
        <v>11.699999999999996</v>
      </c>
      <c r="S258" s="230">
        <f t="shared" si="87"/>
        <v>28032</v>
      </c>
      <c r="T258" s="293">
        <f t="shared" si="87"/>
        <v>11.699999999999996</v>
      </c>
      <c r="U258" s="230">
        <f t="shared" si="87"/>
        <v>16512</v>
      </c>
      <c r="V258" s="293">
        <f t="shared" si="87"/>
        <v>5.1999999999999993</v>
      </c>
      <c r="W258" s="230">
        <f t="shared" si="87"/>
        <v>50530</v>
      </c>
      <c r="X258" s="293">
        <f t="shared" si="87"/>
        <v>14</v>
      </c>
      <c r="Y258" s="230">
        <f t="shared" si="87"/>
        <v>13781</v>
      </c>
      <c r="Z258" s="293">
        <f t="shared" si="87"/>
        <v>5.6999999999999993</v>
      </c>
    </row>
    <row r="259" spans="1:26" x14ac:dyDescent="0.2">
      <c r="A259" s="699"/>
      <c r="B259" s="272" t="s">
        <v>379</v>
      </c>
      <c r="C259" s="355"/>
      <c r="D259" s="356"/>
      <c r="E259" s="355"/>
      <c r="F259" s="356"/>
      <c r="G259" s="230">
        <f t="shared" ref="G259:Z259" si="88">G$12-G248</f>
        <v>0</v>
      </c>
      <c r="H259" s="293">
        <f t="shared" si="88"/>
        <v>0</v>
      </c>
      <c r="I259" s="230">
        <f t="shared" si="88"/>
        <v>0</v>
      </c>
      <c r="J259" s="293">
        <f t="shared" si="88"/>
        <v>0</v>
      </c>
      <c r="K259" s="230">
        <f t="shared" si="88"/>
        <v>0</v>
      </c>
      <c r="L259" s="293">
        <f t="shared" si="88"/>
        <v>0</v>
      </c>
      <c r="M259" s="230">
        <f t="shared" si="88"/>
        <v>0</v>
      </c>
      <c r="N259" s="293">
        <f t="shared" si="88"/>
        <v>0</v>
      </c>
      <c r="O259" s="230">
        <f t="shared" si="88"/>
        <v>0</v>
      </c>
      <c r="P259" s="293">
        <f t="shared" si="88"/>
        <v>0</v>
      </c>
      <c r="Q259" s="230">
        <f t="shared" si="88"/>
        <v>0</v>
      </c>
      <c r="R259" s="293">
        <f t="shared" si="88"/>
        <v>0</v>
      </c>
      <c r="S259" s="230">
        <f t="shared" si="88"/>
        <v>0</v>
      </c>
      <c r="T259" s="293">
        <f t="shared" si="88"/>
        <v>0</v>
      </c>
      <c r="U259" s="230">
        <f t="shared" si="88"/>
        <v>0</v>
      </c>
      <c r="V259" s="293">
        <f t="shared" si="88"/>
        <v>0</v>
      </c>
      <c r="W259" s="230">
        <f t="shared" si="88"/>
        <v>0</v>
      </c>
      <c r="X259" s="293">
        <f t="shared" si="88"/>
        <v>0</v>
      </c>
      <c r="Y259" s="230">
        <f t="shared" si="88"/>
        <v>0</v>
      </c>
      <c r="Z259" s="293">
        <f t="shared" si="88"/>
        <v>0</v>
      </c>
    </row>
    <row r="260" spans="1:26" x14ac:dyDescent="0.2">
      <c r="A260" s="699"/>
      <c r="B260" s="272" t="s">
        <v>380</v>
      </c>
      <c r="C260" s="355"/>
      <c r="D260" s="356"/>
      <c r="E260" s="355"/>
      <c r="F260" s="356"/>
      <c r="G260" s="230">
        <f t="shared" ref="G260:Z260" si="89">G$13-G249</f>
        <v>0</v>
      </c>
      <c r="H260" s="293">
        <f t="shared" si="89"/>
        <v>0</v>
      </c>
      <c r="I260" s="230">
        <f t="shared" si="89"/>
        <v>0</v>
      </c>
      <c r="J260" s="293">
        <f t="shared" si="89"/>
        <v>0</v>
      </c>
      <c r="K260" s="230">
        <f t="shared" si="89"/>
        <v>0</v>
      </c>
      <c r="L260" s="293">
        <f t="shared" si="89"/>
        <v>0</v>
      </c>
      <c r="M260" s="230">
        <f t="shared" si="89"/>
        <v>0</v>
      </c>
      <c r="N260" s="293">
        <f t="shared" si="89"/>
        <v>0</v>
      </c>
      <c r="O260" s="230">
        <f t="shared" si="89"/>
        <v>0</v>
      </c>
      <c r="P260" s="293">
        <f t="shared" si="89"/>
        <v>0</v>
      </c>
      <c r="Q260" s="230">
        <f t="shared" si="89"/>
        <v>0</v>
      </c>
      <c r="R260" s="293">
        <f t="shared" si="89"/>
        <v>0</v>
      </c>
      <c r="S260" s="230">
        <f t="shared" si="89"/>
        <v>0</v>
      </c>
      <c r="T260" s="293">
        <f t="shared" si="89"/>
        <v>0</v>
      </c>
      <c r="U260" s="230">
        <f t="shared" si="89"/>
        <v>0</v>
      </c>
      <c r="V260" s="293">
        <f t="shared" si="89"/>
        <v>0</v>
      </c>
      <c r="W260" s="230">
        <f t="shared" si="89"/>
        <v>0</v>
      </c>
      <c r="X260" s="293">
        <f t="shared" si="89"/>
        <v>0</v>
      </c>
      <c r="Y260" s="230">
        <f t="shared" si="89"/>
        <v>0</v>
      </c>
      <c r="Z260" s="293">
        <f t="shared" si="89"/>
        <v>0</v>
      </c>
    </row>
    <row r="261" spans="1:26" x14ac:dyDescent="0.2">
      <c r="A261" s="699"/>
      <c r="B261" s="272" t="s">
        <v>381</v>
      </c>
      <c r="C261" s="355"/>
      <c r="D261" s="356"/>
      <c r="E261" s="355"/>
      <c r="F261" s="356"/>
      <c r="G261" s="230">
        <f t="shared" ref="G261:Z261" si="90">G$14-G250</f>
        <v>0</v>
      </c>
      <c r="H261" s="293">
        <f t="shared" si="90"/>
        <v>0</v>
      </c>
      <c r="I261" s="230">
        <f t="shared" si="90"/>
        <v>0</v>
      </c>
      <c r="J261" s="293">
        <f t="shared" si="90"/>
        <v>0</v>
      </c>
      <c r="K261" s="230">
        <f t="shared" si="90"/>
        <v>0</v>
      </c>
      <c r="L261" s="293">
        <f t="shared" si="90"/>
        <v>0</v>
      </c>
      <c r="M261" s="230">
        <f t="shared" si="90"/>
        <v>0</v>
      </c>
      <c r="N261" s="293">
        <f t="shared" si="90"/>
        <v>0</v>
      </c>
      <c r="O261" s="230">
        <f t="shared" si="90"/>
        <v>0</v>
      </c>
      <c r="P261" s="293">
        <f t="shared" si="90"/>
        <v>0</v>
      </c>
      <c r="Q261" s="230">
        <f t="shared" si="90"/>
        <v>0</v>
      </c>
      <c r="R261" s="293">
        <f t="shared" si="90"/>
        <v>0</v>
      </c>
      <c r="S261" s="230">
        <f t="shared" si="90"/>
        <v>0</v>
      </c>
      <c r="T261" s="293">
        <f t="shared" si="90"/>
        <v>0</v>
      </c>
      <c r="U261" s="230">
        <f t="shared" si="90"/>
        <v>0</v>
      </c>
      <c r="V261" s="293">
        <f t="shared" si="90"/>
        <v>0</v>
      </c>
      <c r="W261" s="230">
        <f t="shared" si="90"/>
        <v>0</v>
      </c>
      <c r="X261" s="293">
        <f t="shared" si="90"/>
        <v>0</v>
      </c>
      <c r="Y261" s="230">
        <f t="shared" si="90"/>
        <v>0</v>
      </c>
      <c r="Z261" s="293">
        <f t="shared" si="90"/>
        <v>0</v>
      </c>
    </row>
    <row r="262" spans="1:26" s="20" customFormat="1" x14ac:dyDescent="0.2">
      <c r="A262" s="700"/>
      <c r="B262" s="274" t="s">
        <v>1059</v>
      </c>
      <c r="C262" s="357"/>
      <c r="D262" s="358"/>
      <c r="E262" s="357"/>
      <c r="F262" s="358"/>
      <c r="G262" s="275">
        <f t="shared" ref="G262:V262" si="91">G$15-G251</f>
        <v>396</v>
      </c>
      <c r="H262" s="294">
        <f t="shared" si="91"/>
        <v>1.3000000000000114</v>
      </c>
      <c r="I262" s="275">
        <f>I258</f>
        <v>22550</v>
      </c>
      <c r="J262" s="294">
        <f>J258</f>
        <v>6.1999999999999993</v>
      </c>
      <c r="K262" s="275">
        <f t="shared" si="91"/>
        <v>2774</v>
      </c>
      <c r="L262" s="294">
        <f t="shared" si="91"/>
        <v>1.1999999999999886</v>
      </c>
      <c r="M262" s="275">
        <f>M258</f>
        <v>22550</v>
      </c>
      <c r="N262" s="294">
        <f>N258</f>
        <v>6.1999999999999993</v>
      </c>
      <c r="O262" s="275">
        <f>O258</f>
        <v>41980</v>
      </c>
      <c r="P262" s="294">
        <f>P258</f>
        <v>11.699999999999996</v>
      </c>
      <c r="Q262" s="275">
        <f t="shared" si="91"/>
        <v>5274</v>
      </c>
      <c r="R262" s="294">
        <f t="shared" si="91"/>
        <v>2.1999999999999886</v>
      </c>
      <c r="S262" s="275">
        <f>S258</f>
        <v>28032</v>
      </c>
      <c r="T262" s="294">
        <f>T258</f>
        <v>11.699999999999996</v>
      </c>
      <c r="U262" s="275">
        <f t="shared" si="91"/>
        <v>3472</v>
      </c>
      <c r="V262" s="294">
        <f t="shared" si="91"/>
        <v>1.0999999999999943</v>
      </c>
      <c r="W262" s="275">
        <f>W258</f>
        <v>50530</v>
      </c>
      <c r="X262" s="294">
        <f>X258</f>
        <v>14</v>
      </c>
      <c r="Y262" s="275">
        <f>Y258</f>
        <v>13781</v>
      </c>
      <c r="Z262" s="294">
        <f>Z258</f>
        <v>5.6999999999999993</v>
      </c>
    </row>
    <row r="263" spans="1:26" s="20" customFormat="1" x14ac:dyDescent="0.2">
      <c r="A263" s="266"/>
      <c r="B263" s="227"/>
      <c r="C263" s="267"/>
      <c r="D263" s="232"/>
      <c r="E263" s="268"/>
      <c r="F263" s="237"/>
      <c r="G263" s="267"/>
      <c r="H263" s="232"/>
      <c r="I263" s="267"/>
      <c r="J263" s="232"/>
      <c r="K263" s="267"/>
      <c r="L263" s="232"/>
      <c r="M263" s="267"/>
      <c r="N263" s="232"/>
      <c r="O263" s="267"/>
      <c r="P263" s="232"/>
      <c r="Q263" s="267"/>
      <c r="R263" s="232"/>
      <c r="S263" s="267"/>
      <c r="T263" s="232"/>
      <c r="U263" s="267"/>
      <c r="V263" s="232"/>
      <c r="W263" s="267"/>
      <c r="X263" s="232"/>
      <c r="Y263" s="267"/>
      <c r="Z263" s="232"/>
    </row>
    <row r="264" spans="1:26" s="202" customFormat="1" ht="13.15" customHeight="1" x14ac:dyDescent="0.2">
      <c r="A264" s="698" t="s">
        <v>578</v>
      </c>
      <c r="B264" s="359" t="s">
        <v>488</v>
      </c>
      <c r="C264" s="368"/>
      <c r="D264" s="369"/>
      <c r="E264" s="368"/>
      <c r="F264" s="369"/>
      <c r="G264" s="304" t="s">
        <v>486</v>
      </c>
      <c r="H264" s="280" t="s">
        <v>487</v>
      </c>
      <c r="I264" s="304" t="s">
        <v>486</v>
      </c>
      <c r="J264" s="280" t="s">
        <v>487</v>
      </c>
      <c r="K264" s="304" t="s">
        <v>486</v>
      </c>
      <c r="L264" s="280" t="s">
        <v>487</v>
      </c>
      <c r="M264" s="304" t="s">
        <v>486</v>
      </c>
      <c r="N264" s="280" t="s">
        <v>487</v>
      </c>
      <c r="O264" s="304" t="s">
        <v>486</v>
      </c>
      <c r="P264" s="280" t="s">
        <v>487</v>
      </c>
      <c r="Q264" s="304" t="s">
        <v>486</v>
      </c>
      <c r="R264" s="280" t="s">
        <v>487</v>
      </c>
      <c r="S264" s="304" t="s">
        <v>486</v>
      </c>
      <c r="T264" s="280" t="s">
        <v>487</v>
      </c>
      <c r="U264" s="304" t="s">
        <v>486</v>
      </c>
      <c r="V264" s="280" t="s">
        <v>487</v>
      </c>
      <c r="W264" s="304" t="s">
        <v>486</v>
      </c>
      <c r="X264" s="280" t="s">
        <v>487</v>
      </c>
      <c r="Y264" s="304" t="s">
        <v>486</v>
      </c>
      <c r="Z264" s="314" t="s">
        <v>487</v>
      </c>
    </row>
    <row r="265" spans="1:26" x14ac:dyDescent="0.2">
      <c r="A265" s="699"/>
      <c r="B265" s="316" t="s">
        <v>289</v>
      </c>
      <c r="C265" s="372"/>
      <c r="D265" s="373"/>
      <c r="E265" s="372"/>
      <c r="F265" s="373"/>
      <c r="G265" s="214">
        <f>'6 Oversikt startpunkt'!D21</f>
        <v>10</v>
      </c>
      <c r="H265" s="214">
        <f>'7 Passivhusnivå'!F40</f>
        <v>5</v>
      </c>
      <c r="I265" s="317">
        <f>'6 Oversikt startpunkt'!E21</f>
        <v>10</v>
      </c>
      <c r="J265" s="402">
        <f>'7 Passivhusnivå'!G40</f>
        <v>4</v>
      </c>
      <c r="K265" s="214">
        <f>'6 Oversikt startpunkt'!F21</f>
        <v>12.5</v>
      </c>
      <c r="L265" s="214">
        <f>'7 Passivhusnivå'!H40</f>
        <v>4.5</v>
      </c>
      <c r="M265" s="317">
        <f>'6 Oversikt startpunkt'!G21</f>
        <v>10</v>
      </c>
      <c r="N265" s="402">
        <f>'7 Passivhusnivå'!I40</f>
        <v>4.5</v>
      </c>
      <c r="O265" s="214">
        <f>'6 Oversikt startpunkt'!H21</f>
        <v>10</v>
      </c>
      <c r="P265" s="214">
        <f>'7 Passivhusnivå'!J40</f>
        <v>5</v>
      </c>
      <c r="Q265" s="317">
        <f>'6 Oversikt startpunkt'!I21</f>
        <v>10</v>
      </c>
      <c r="R265" s="402">
        <f>'7 Passivhusnivå'!K40</f>
        <v>5</v>
      </c>
      <c r="S265" s="214">
        <f>'6 Oversikt startpunkt'!J21</f>
        <v>10</v>
      </c>
      <c r="T265" s="214">
        <f>'7 Passivhusnivå'!L40</f>
        <v>3</v>
      </c>
      <c r="U265" s="317">
        <f>'6 Oversikt startpunkt'!K21</f>
        <v>10</v>
      </c>
      <c r="V265" s="402">
        <f>'7 Passivhusnivå'!M40</f>
        <v>5.5</v>
      </c>
      <c r="W265" s="214">
        <f>'6 Oversikt startpunkt'!L21</f>
        <v>18.75</v>
      </c>
      <c r="X265" s="214">
        <f>'7 Passivhusnivå'!N40</f>
        <v>7.5</v>
      </c>
      <c r="Y265" s="317">
        <f>'6 Oversikt startpunkt'!M21</f>
        <v>10</v>
      </c>
      <c r="Z265" s="402">
        <f>'7 Passivhusnivå'!O40</f>
        <v>6</v>
      </c>
    </row>
    <row r="266" spans="1:26" s="216" customFormat="1" x14ac:dyDescent="0.2">
      <c r="A266" s="699"/>
      <c r="B266" s="360" t="s">
        <v>490</v>
      </c>
      <c r="C266" s="353"/>
      <c r="D266" s="374"/>
      <c r="E266" s="353"/>
      <c r="F266" s="354"/>
      <c r="G266" s="292" t="s">
        <v>372</v>
      </c>
      <c r="H266" s="290" t="s">
        <v>397</v>
      </c>
      <c r="I266" s="289" t="s">
        <v>372</v>
      </c>
      <c r="J266" s="291" t="s">
        <v>397</v>
      </c>
      <c r="K266" s="292" t="s">
        <v>372</v>
      </c>
      <c r="L266" s="290" t="s">
        <v>397</v>
      </c>
      <c r="M266" s="289" t="s">
        <v>372</v>
      </c>
      <c r="N266" s="290" t="s">
        <v>397</v>
      </c>
      <c r="O266" s="289" t="s">
        <v>372</v>
      </c>
      <c r="P266" s="290" t="s">
        <v>397</v>
      </c>
      <c r="Q266" s="289" t="s">
        <v>372</v>
      </c>
      <c r="R266" s="290" t="s">
        <v>397</v>
      </c>
      <c r="S266" s="289" t="s">
        <v>372</v>
      </c>
      <c r="T266" s="290" t="s">
        <v>397</v>
      </c>
      <c r="U266" s="289" t="s">
        <v>372</v>
      </c>
      <c r="V266" s="290" t="s">
        <v>397</v>
      </c>
      <c r="W266" s="289" t="s">
        <v>372</v>
      </c>
      <c r="X266" s="290" t="s">
        <v>397</v>
      </c>
      <c r="Y266" s="289" t="s">
        <v>372</v>
      </c>
      <c r="Z266" s="291" t="s">
        <v>397</v>
      </c>
    </row>
    <row r="267" spans="1:26" x14ac:dyDescent="0.2">
      <c r="A267" s="699"/>
      <c r="B267" s="205" t="s">
        <v>373</v>
      </c>
      <c r="C267" s="355"/>
      <c r="D267" s="375"/>
      <c r="E267" s="355"/>
      <c r="F267" s="376"/>
      <c r="G267" s="285">
        <v>33983</v>
      </c>
      <c r="H267" s="231">
        <v>113.3</v>
      </c>
      <c r="I267" s="230">
        <v>196062</v>
      </c>
      <c r="J267" s="273">
        <v>54.5</v>
      </c>
      <c r="K267" s="285">
        <v>184778</v>
      </c>
      <c r="L267" s="231">
        <v>77</v>
      </c>
      <c r="M267" s="230">
        <v>214878</v>
      </c>
      <c r="N267" s="231">
        <v>59.7</v>
      </c>
      <c r="O267" s="230">
        <v>388112</v>
      </c>
      <c r="P267" s="231">
        <v>107.8</v>
      </c>
      <c r="Q267" s="230">
        <v>237390</v>
      </c>
      <c r="R267" s="231">
        <v>98.9</v>
      </c>
      <c r="S267" s="230">
        <v>307601</v>
      </c>
      <c r="T267" s="231">
        <v>128.19999999999999</v>
      </c>
      <c r="U267" s="230">
        <v>328003</v>
      </c>
      <c r="V267" s="231">
        <v>102.5</v>
      </c>
      <c r="W267" s="230">
        <v>353709</v>
      </c>
      <c r="X267" s="231">
        <v>98.3</v>
      </c>
      <c r="Y267" s="230">
        <v>246695</v>
      </c>
      <c r="Z267" s="273">
        <v>102.8</v>
      </c>
    </row>
    <row r="268" spans="1:26" x14ac:dyDescent="0.2">
      <c r="A268" s="699"/>
      <c r="B268" s="205" t="s">
        <v>374</v>
      </c>
      <c r="C268" s="355"/>
      <c r="D268" s="375"/>
      <c r="E268" s="355"/>
      <c r="F268" s="376"/>
      <c r="G268" s="285">
        <v>1988</v>
      </c>
      <c r="H268" s="231">
        <v>6.6</v>
      </c>
      <c r="I268" s="230">
        <v>24371</v>
      </c>
      <c r="J268" s="273">
        <v>6.8</v>
      </c>
      <c r="K268" s="285">
        <v>19979</v>
      </c>
      <c r="L268" s="231">
        <v>8.3000000000000007</v>
      </c>
      <c r="M268" s="230">
        <v>31728</v>
      </c>
      <c r="N268" s="231">
        <v>8.8000000000000007</v>
      </c>
      <c r="O268" s="230">
        <v>90844</v>
      </c>
      <c r="P268" s="231">
        <v>25.2</v>
      </c>
      <c r="Q268" s="230">
        <v>57256</v>
      </c>
      <c r="R268" s="231">
        <v>23.9</v>
      </c>
      <c r="S268" s="230">
        <v>29014</v>
      </c>
      <c r="T268" s="231">
        <v>12.1</v>
      </c>
      <c r="U268" s="230">
        <v>53522</v>
      </c>
      <c r="V268" s="231">
        <v>16.7</v>
      </c>
      <c r="W268" s="230">
        <v>51526</v>
      </c>
      <c r="X268" s="231">
        <v>14.3</v>
      </c>
      <c r="Y268" s="230">
        <v>15481</v>
      </c>
      <c r="Z268" s="273">
        <v>6.5</v>
      </c>
    </row>
    <row r="269" spans="1:26" x14ac:dyDescent="0.2">
      <c r="A269" s="699"/>
      <c r="B269" s="205" t="s">
        <v>375</v>
      </c>
      <c r="C269" s="355"/>
      <c r="D269" s="375"/>
      <c r="E269" s="355"/>
      <c r="F269" s="376"/>
      <c r="G269" s="285">
        <v>3007</v>
      </c>
      <c r="H269" s="231">
        <v>10</v>
      </c>
      <c r="I269" s="230">
        <v>18040</v>
      </c>
      <c r="J269" s="273">
        <v>5</v>
      </c>
      <c r="K269" s="285">
        <v>23530</v>
      </c>
      <c r="L269" s="231">
        <v>9.8000000000000007</v>
      </c>
      <c r="M269" s="230">
        <v>18040</v>
      </c>
      <c r="N269" s="231">
        <v>5</v>
      </c>
      <c r="O269" s="230">
        <v>107170</v>
      </c>
      <c r="P269" s="231">
        <v>29.8</v>
      </c>
      <c r="Q269" s="230">
        <v>71482</v>
      </c>
      <c r="R269" s="231">
        <v>29.8</v>
      </c>
      <c r="S269" s="230">
        <v>71482</v>
      </c>
      <c r="T269" s="231">
        <v>29.8</v>
      </c>
      <c r="U269" s="230">
        <v>156864</v>
      </c>
      <c r="V269" s="231">
        <v>49</v>
      </c>
      <c r="W269" s="230">
        <v>36408</v>
      </c>
      <c r="X269" s="231">
        <v>10.1</v>
      </c>
      <c r="Y269" s="230">
        <v>24054</v>
      </c>
      <c r="Z269" s="273">
        <v>10</v>
      </c>
    </row>
    <row r="270" spans="1:26" x14ac:dyDescent="0.2">
      <c r="A270" s="699"/>
      <c r="B270" s="205" t="s">
        <v>376</v>
      </c>
      <c r="C270" s="355"/>
      <c r="D270" s="375"/>
      <c r="E270" s="355"/>
      <c r="F270" s="376"/>
      <c r="G270" s="285">
        <v>7830</v>
      </c>
      <c r="H270" s="231">
        <v>26.1</v>
      </c>
      <c r="I270" s="230">
        <v>93974</v>
      </c>
      <c r="J270" s="273">
        <v>26.1</v>
      </c>
      <c r="K270" s="285">
        <v>68800</v>
      </c>
      <c r="L270" s="231">
        <v>28.7</v>
      </c>
      <c r="M270" s="230">
        <v>122166</v>
      </c>
      <c r="N270" s="231">
        <v>33.9</v>
      </c>
      <c r="O270" s="230">
        <v>292652</v>
      </c>
      <c r="P270" s="231">
        <v>81.3</v>
      </c>
      <c r="Q270" s="230">
        <v>171598</v>
      </c>
      <c r="R270" s="231">
        <v>71.5</v>
      </c>
      <c r="S270" s="230">
        <v>116800</v>
      </c>
      <c r="T270" s="231">
        <v>48.7</v>
      </c>
      <c r="U270" s="230">
        <v>82560</v>
      </c>
      <c r="V270" s="231">
        <v>25.8</v>
      </c>
      <c r="W270" s="230">
        <v>224688</v>
      </c>
      <c r="X270" s="231">
        <v>62.4</v>
      </c>
      <c r="Y270" s="230">
        <v>68904</v>
      </c>
      <c r="Z270" s="273">
        <v>28.7</v>
      </c>
    </row>
    <row r="271" spans="1:26" x14ac:dyDescent="0.2">
      <c r="A271" s="699"/>
      <c r="B271" s="205" t="s">
        <v>377</v>
      </c>
      <c r="C271" s="355"/>
      <c r="D271" s="375"/>
      <c r="E271" s="355"/>
      <c r="F271" s="376"/>
      <c r="G271" s="285">
        <v>332</v>
      </c>
      <c r="H271" s="231">
        <v>1.1000000000000001</v>
      </c>
      <c r="I271" s="230">
        <v>7602</v>
      </c>
      <c r="J271" s="273">
        <v>2.1</v>
      </c>
      <c r="K271" s="285">
        <v>2257</v>
      </c>
      <c r="L271" s="231">
        <v>0.9</v>
      </c>
      <c r="M271" s="230">
        <v>8746</v>
      </c>
      <c r="N271" s="231">
        <v>2.4</v>
      </c>
      <c r="O271" s="230">
        <v>10669</v>
      </c>
      <c r="P271" s="231">
        <v>3</v>
      </c>
      <c r="Q271" s="230">
        <v>2002</v>
      </c>
      <c r="R271" s="231">
        <v>0.8</v>
      </c>
      <c r="S271" s="230">
        <v>5508</v>
      </c>
      <c r="T271" s="231">
        <v>2.2999999999999998</v>
      </c>
      <c r="U271" s="230">
        <v>3370</v>
      </c>
      <c r="V271" s="231">
        <v>1.1000000000000001</v>
      </c>
      <c r="W271" s="230">
        <v>12257</v>
      </c>
      <c r="X271" s="231">
        <v>3.4</v>
      </c>
      <c r="Y271" s="230">
        <v>6356</v>
      </c>
      <c r="Z271" s="273">
        <v>2.6</v>
      </c>
    </row>
    <row r="272" spans="1:26" x14ac:dyDescent="0.2">
      <c r="A272" s="699"/>
      <c r="B272" s="205" t="s">
        <v>378</v>
      </c>
      <c r="C272" s="355"/>
      <c r="D272" s="375"/>
      <c r="E272" s="355"/>
      <c r="F272" s="376"/>
      <c r="G272" s="285">
        <v>3915</v>
      </c>
      <c r="H272" s="231">
        <v>13.1</v>
      </c>
      <c r="I272" s="230">
        <v>45101</v>
      </c>
      <c r="J272" s="273">
        <v>12.5</v>
      </c>
      <c r="K272" s="285">
        <v>23220</v>
      </c>
      <c r="L272" s="231">
        <v>9.6999999999999993</v>
      </c>
      <c r="M272" s="230">
        <v>50730</v>
      </c>
      <c r="N272" s="231">
        <v>14.1</v>
      </c>
      <c r="O272" s="230">
        <v>105086</v>
      </c>
      <c r="P272" s="231">
        <v>29.2</v>
      </c>
      <c r="Q272" s="230">
        <v>70080</v>
      </c>
      <c r="R272" s="231">
        <v>29.2</v>
      </c>
      <c r="S272" s="230">
        <v>42048</v>
      </c>
      <c r="T272" s="231">
        <v>17.5</v>
      </c>
      <c r="U272" s="230">
        <v>45408</v>
      </c>
      <c r="V272" s="231">
        <v>14.2</v>
      </c>
      <c r="W272" s="230">
        <v>101108</v>
      </c>
      <c r="X272" s="231">
        <v>28.1</v>
      </c>
      <c r="Y272" s="230">
        <v>41342</v>
      </c>
      <c r="Z272" s="273">
        <v>17.2</v>
      </c>
    </row>
    <row r="273" spans="1:26" x14ac:dyDescent="0.2">
      <c r="A273" s="699"/>
      <c r="B273" s="205" t="s">
        <v>379</v>
      </c>
      <c r="C273" s="355"/>
      <c r="D273" s="375"/>
      <c r="E273" s="355"/>
      <c r="F273" s="376"/>
      <c r="G273" s="285">
        <v>1566</v>
      </c>
      <c r="H273" s="231">
        <v>5.2</v>
      </c>
      <c r="I273" s="230">
        <v>124050</v>
      </c>
      <c r="J273" s="273">
        <v>34.5</v>
      </c>
      <c r="K273" s="285">
        <v>30960</v>
      </c>
      <c r="L273" s="231">
        <v>12.9</v>
      </c>
      <c r="M273" s="230">
        <v>124050</v>
      </c>
      <c r="N273" s="231">
        <v>34.5</v>
      </c>
      <c r="O273" s="230">
        <v>168192</v>
      </c>
      <c r="P273" s="231">
        <v>46.7</v>
      </c>
      <c r="Q273" s="230">
        <v>56064</v>
      </c>
      <c r="R273" s="231">
        <v>23.4</v>
      </c>
      <c r="S273" s="230">
        <v>14016</v>
      </c>
      <c r="T273" s="231">
        <v>5.8</v>
      </c>
      <c r="U273" s="230">
        <v>8256</v>
      </c>
      <c r="V273" s="231">
        <v>2.6</v>
      </c>
      <c r="W273" s="230">
        <v>13478</v>
      </c>
      <c r="X273" s="231">
        <v>3.7</v>
      </c>
      <c r="Y273" s="230">
        <v>6890</v>
      </c>
      <c r="Z273" s="273">
        <v>2.9</v>
      </c>
    </row>
    <row r="274" spans="1:26" x14ac:dyDescent="0.2">
      <c r="A274" s="699"/>
      <c r="B274" s="205" t="s">
        <v>380</v>
      </c>
      <c r="C274" s="355"/>
      <c r="D274" s="375"/>
      <c r="E274" s="377"/>
      <c r="F274" s="376"/>
      <c r="G274" s="285">
        <v>0</v>
      </c>
      <c r="H274" s="231">
        <v>0</v>
      </c>
      <c r="I274" s="230">
        <v>0</v>
      </c>
      <c r="J274" s="273">
        <v>0</v>
      </c>
      <c r="K274" s="285">
        <v>0</v>
      </c>
      <c r="L274" s="231">
        <v>0</v>
      </c>
      <c r="M274" s="230">
        <v>0</v>
      </c>
      <c r="N274" s="231">
        <v>0</v>
      </c>
      <c r="O274" s="230">
        <v>0</v>
      </c>
      <c r="P274" s="231">
        <v>0</v>
      </c>
      <c r="Q274" s="230">
        <v>0</v>
      </c>
      <c r="R274" s="231">
        <v>0</v>
      </c>
      <c r="S274" s="230">
        <v>0</v>
      </c>
      <c r="T274" s="231">
        <v>0</v>
      </c>
      <c r="U274" s="230">
        <v>0</v>
      </c>
      <c r="V274" s="231">
        <v>0</v>
      </c>
      <c r="W274" s="230">
        <v>0</v>
      </c>
      <c r="X274" s="231">
        <v>0</v>
      </c>
      <c r="Y274" s="230">
        <v>0</v>
      </c>
      <c r="Z274" s="273">
        <v>0</v>
      </c>
    </row>
    <row r="275" spans="1:26" x14ac:dyDescent="0.2">
      <c r="A275" s="699"/>
      <c r="B275" s="205" t="s">
        <v>381</v>
      </c>
      <c r="C275" s="355"/>
      <c r="D275" s="375"/>
      <c r="E275" s="377"/>
      <c r="F275" s="376"/>
      <c r="G275" s="285">
        <v>0</v>
      </c>
      <c r="H275" s="231">
        <v>0</v>
      </c>
      <c r="I275" s="230">
        <v>20235</v>
      </c>
      <c r="J275" s="273">
        <v>5.6</v>
      </c>
      <c r="K275" s="285">
        <v>0</v>
      </c>
      <c r="L275" s="231">
        <v>0</v>
      </c>
      <c r="M275" s="230">
        <v>26017</v>
      </c>
      <c r="N275" s="231">
        <v>7.2</v>
      </c>
      <c r="O275" s="230">
        <v>51513</v>
      </c>
      <c r="P275" s="231">
        <v>14.3</v>
      </c>
      <c r="Q275" s="230">
        <v>0</v>
      </c>
      <c r="R275" s="231">
        <v>0</v>
      </c>
      <c r="S275" s="230">
        <v>22800</v>
      </c>
      <c r="T275" s="231">
        <v>9.5</v>
      </c>
      <c r="U275" s="230">
        <v>0</v>
      </c>
      <c r="V275" s="231">
        <v>0</v>
      </c>
      <c r="W275" s="230">
        <v>53219</v>
      </c>
      <c r="X275" s="231">
        <v>14.8</v>
      </c>
      <c r="Y275" s="230">
        <v>17590</v>
      </c>
      <c r="Z275" s="273">
        <v>7.3</v>
      </c>
    </row>
    <row r="276" spans="1:26" s="20" customFormat="1" x14ac:dyDescent="0.2">
      <c r="A276" s="699"/>
      <c r="B276" s="284" t="s">
        <v>382</v>
      </c>
      <c r="C276" s="357"/>
      <c r="D276" s="378"/>
      <c r="E276" s="357"/>
      <c r="F276" s="379"/>
      <c r="G276" s="286">
        <v>52621</v>
      </c>
      <c r="H276" s="276">
        <v>175.4</v>
      </c>
      <c r="I276" s="275">
        <v>529436</v>
      </c>
      <c r="J276" s="279">
        <v>147.1</v>
      </c>
      <c r="K276" s="286">
        <v>353524</v>
      </c>
      <c r="L276" s="276">
        <v>147.30000000000001</v>
      </c>
      <c r="M276" s="275">
        <v>596355</v>
      </c>
      <c r="N276" s="276">
        <v>165.7</v>
      </c>
      <c r="O276" s="275">
        <v>1214238</v>
      </c>
      <c r="P276" s="276">
        <v>337.3</v>
      </c>
      <c r="Q276" s="275">
        <v>665871</v>
      </c>
      <c r="R276" s="276">
        <v>277.39999999999998</v>
      </c>
      <c r="S276" s="275">
        <v>609268</v>
      </c>
      <c r="T276" s="276">
        <v>253.9</v>
      </c>
      <c r="U276" s="275">
        <v>677982</v>
      </c>
      <c r="V276" s="276">
        <v>211.9</v>
      </c>
      <c r="W276" s="275">
        <v>846394</v>
      </c>
      <c r="X276" s="276">
        <v>235.1</v>
      </c>
      <c r="Y276" s="275">
        <v>427313</v>
      </c>
      <c r="Z276" s="279">
        <v>178</v>
      </c>
    </row>
    <row r="277" spans="1:26" s="216" customFormat="1" x14ac:dyDescent="0.2">
      <c r="A277" s="699"/>
      <c r="B277" s="361" t="s">
        <v>574</v>
      </c>
      <c r="C277" s="353"/>
      <c r="D277" s="354"/>
      <c r="E277" s="353"/>
      <c r="F277" s="354"/>
      <c r="G277" s="353" t="s">
        <v>372</v>
      </c>
      <c r="H277" s="354" t="s">
        <v>397</v>
      </c>
      <c r="I277" s="353" t="s">
        <v>372</v>
      </c>
      <c r="J277" s="354" t="s">
        <v>397</v>
      </c>
      <c r="K277" s="353" t="s">
        <v>372</v>
      </c>
      <c r="L277" s="354" t="s">
        <v>397</v>
      </c>
      <c r="M277" s="353" t="s">
        <v>372</v>
      </c>
      <c r="N277" s="354" t="s">
        <v>397</v>
      </c>
      <c r="O277" s="353" t="s">
        <v>372</v>
      </c>
      <c r="P277" s="354" t="s">
        <v>397</v>
      </c>
      <c r="Q277" s="353" t="s">
        <v>372</v>
      </c>
      <c r="R277" s="354" t="s">
        <v>397</v>
      </c>
      <c r="S277" s="353" t="s">
        <v>372</v>
      </c>
      <c r="T277" s="354" t="s">
        <v>397</v>
      </c>
      <c r="U277" s="353" t="s">
        <v>372</v>
      </c>
      <c r="V277" s="354" t="s">
        <v>397</v>
      </c>
      <c r="W277" s="353" t="s">
        <v>372</v>
      </c>
      <c r="X277" s="354" t="s">
        <v>397</v>
      </c>
      <c r="Y277" s="353" t="s">
        <v>372</v>
      </c>
      <c r="Z277" s="354" t="s">
        <v>397</v>
      </c>
    </row>
    <row r="278" spans="1:26" x14ac:dyDescent="0.2">
      <c r="A278" s="699"/>
      <c r="B278" s="362" t="s">
        <v>373</v>
      </c>
      <c r="C278" s="355"/>
      <c r="D278" s="356"/>
      <c r="E278" s="355"/>
      <c r="F278" s="356"/>
      <c r="G278" s="355">
        <f t="shared" ref="G278:Z278" si="92">G$6-G267</f>
        <v>-2959</v>
      </c>
      <c r="H278" s="356">
        <f t="shared" si="92"/>
        <v>-9.8999999999999915</v>
      </c>
      <c r="I278" s="355">
        <f t="shared" si="92"/>
        <v>-45176</v>
      </c>
      <c r="J278" s="356">
        <f t="shared" si="92"/>
        <v>-12.600000000000001</v>
      </c>
      <c r="K278" s="355">
        <f t="shared" si="92"/>
        <v>-33410</v>
      </c>
      <c r="L278" s="356">
        <f t="shared" si="92"/>
        <v>-13.899999999999999</v>
      </c>
      <c r="M278" s="355">
        <f t="shared" si="92"/>
        <v>-47095</v>
      </c>
      <c r="N278" s="356">
        <f t="shared" si="92"/>
        <v>-13.100000000000001</v>
      </c>
      <c r="O278" s="355">
        <f t="shared" si="92"/>
        <v>-96739</v>
      </c>
      <c r="P278" s="356">
        <f t="shared" si="92"/>
        <v>-26.899999999999991</v>
      </c>
      <c r="Q278" s="355">
        <f t="shared" si="92"/>
        <v>-57741</v>
      </c>
      <c r="R278" s="356">
        <f t="shared" si="92"/>
        <v>-24</v>
      </c>
      <c r="S278" s="355">
        <f t="shared" si="92"/>
        <v>-90802</v>
      </c>
      <c r="T278" s="356">
        <f t="shared" si="92"/>
        <v>-37.899999999999991</v>
      </c>
      <c r="U278" s="355">
        <f t="shared" si="92"/>
        <v>-29348</v>
      </c>
      <c r="V278" s="356">
        <f t="shared" si="92"/>
        <v>-9.2000000000000028</v>
      </c>
      <c r="W278" s="355">
        <f t="shared" si="92"/>
        <v>-136451</v>
      </c>
      <c r="X278" s="356">
        <f t="shared" si="92"/>
        <v>-38</v>
      </c>
      <c r="Y278" s="355">
        <f t="shared" si="92"/>
        <v>-25289</v>
      </c>
      <c r="Z278" s="356">
        <f t="shared" si="92"/>
        <v>-10.5</v>
      </c>
    </row>
    <row r="279" spans="1:26" x14ac:dyDescent="0.2">
      <c r="A279" s="699"/>
      <c r="B279" s="362" t="s">
        <v>374</v>
      </c>
      <c r="C279" s="355"/>
      <c r="D279" s="356"/>
      <c r="E279" s="355"/>
      <c r="F279" s="356"/>
      <c r="G279" s="355">
        <f t="shared" ref="G279:Z279" si="93">G$7-G268</f>
        <v>-5</v>
      </c>
      <c r="H279" s="356">
        <f t="shared" si="93"/>
        <v>0</v>
      </c>
      <c r="I279" s="355">
        <f t="shared" si="93"/>
        <v>-149</v>
      </c>
      <c r="J279" s="356">
        <f t="shared" si="93"/>
        <v>-9.9999999999999645E-2</v>
      </c>
      <c r="K279" s="355">
        <f t="shared" si="93"/>
        <v>-53</v>
      </c>
      <c r="L279" s="356">
        <f t="shared" si="93"/>
        <v>0</v>
      </c>
      <c r="M279" s="355">
        <f t="shared" si="93"/>
        <v>-115</v>
      </c>
      <c r="N279" s="356">
        <f t="shared" si="93"/>
        <v>0</v>
      </c>
      <c r="O279" s="355">
        <f t="shared" si="93"/>
        <v>-679</v>
      </c>
      <c r="P279" s="356">
        <f t="shared" si="93"/>
        <v>-0.19999999999999929</v>
      </c>
      <c r="Q279" s="355">
        <f t="shared" si="93"/>
        <v>-674</v>
      </c>
      <c r="R279" s="356">
        <f t="shared" si="93"/>
        <v>-0.29999999999999716</v>
      </c>
      <c r="S279" s="355">
        <f t="shared" si="93"/>
        <v>-43</v>
      </c>
      <c r="T279" s="356">
        <f t="shared" si="93"/>
        <v>0</v>
      </c>
      <c r="U279" s="355">
        <f t="shared" si="93"/>
        <v>-280</v>
      </c>
      <c r="V279" s="356">
        <f t="shared" si="93"/>
        <v>-9.9999999999997868E-2</v>
      </c>
      <c r="W279" s="355">
        <f t="shared" si="93"/>
        <v>-172</v>
      </c>
      <c r="X279" s="356">
        <f t="shared" si="93"/>
        <v>0</v>
      </c>
      <c r="Y279" s="355">
        <f t="shared" si="93"/>
        <v>-12</v>
      </c>
      <c r="Z279" s="356">
        <f t="shared" si="93"/>
        <v>-9.9999999999999645E-2</v>
      </c>
    </row>
    <row r="280" spans="1:26" x14ac:dyDescent="0.2">
      <c r="A280" s="699"/>
      <c r="B280" s="362" t="s">
        <v>375</v>
      </c>
      <c r="C280" s="355"/>
      <c r="D280" s="356"/>
      <c r="E280" s="355"/>
      <c r="F280" s="356"/>
      <c r="G280" s="355">
        <f t="shared" ref="G280:Z280" si="94">G$8-G269</f>
        <v>0</v>
      </c>
      <c r="H280" s="356">
        <f t="shared" si="94"/>
        <v>0</v>
      </c>
      <c r="I280" s="355">
        <f t="shared" si="94"/>
        <v>0</v>
      </c>
      <c r="J280" s="356">
        <f t="shared" si="94"/>
        <v>0</v>
      </c>
      <c r="K280" s="355">
        <f t="shared" si="94"/>
        <v>0</v>
      </c>
      <c r="L280" s="356">
        <f t="shared" si="94"/>
        <v>0</v>
      </c>
      <c r="M280" s="355">
        <f t="shared" si="94"/>
        <v>0</v>
      </c>
      <c r="N280" s="356">
        <f t="shared" si="94"/>
        <v>0</v>
      </c>
      <c r="O280" s="355">
        <f t="shared" si="94"/>
        <v>0</v>
      </c>
      <c r="P280" s="356">
        <f t="shared" si="94"/>
        <v>0</v>
      </c>
      <c r="Q280" s="355">
        <f t="shared" si="94"/>
        <v>0</v>
      </c>
      <c r="R280" s="356">
        <f t="shared" si="94"/>
        <v>0</v>
      </c>
      <c r="S280" s="355">
        <f t="shared" si="94"/>
        <v>0</v>
      </c>
      <c r="T280" s="356">
        <f t="shared" si="94"/>
        <v>0</v>
      </c>
      <c r="U280" s="355">
        <f t="shared" si="94"/>
        <v>0</v>
      </c>
      <c r="V280" s="356">
        <f t="shared" si="94"/>
        <v>0</v>
      </c>
      <c r="W280" s="355">
        <f t="shared" si="94"/>
        <v>0</v>
      </c>
      <c r="X280" s="356">
        <f t="shared" si="94"/>
        <v>0</v>
      </c>
      <c r="Y280" s="355">
        <f t="shared" si="94"/>
        <v>0</v>
      </c>
      <c r="Z280" s="356">
        <f t="shared" si="94"/>
        <v>0</v>
      </c>
    </row>
    <row r="281" spans="1:26" x14ac:dyDescent="0.2">
      <c r="A281" s="699"/>
      <c r="B281" s="362" t="s">
        <v>376</v>
      </c>
      <c r="C281" s="355"/>
      <c r="D281" s="356"/>
      <c r="E281" s="355"/>
      <c r="F281" s="356"/>
      <c r="G281" s="355">
        <f t="shared" ref="G281:Z281" si="95">G$9-G270</f>
        <v>0</v>
      </c>
      <c r="H281" s="356">
        <f t="shared" si="95"/>
        <v>0</v>
      </c>
      <c r="I281" s="355">
        <f t="shared" si="95"/>
        <v>0</v>
      </c>
      <c r="J281" s="356">
        <f t="shared" si="95"/>
        <v>0</v>
      </c>
      <c r="K281" s="355">
        <f t="shared" si="95"/>
        <v>0</v>
      </c>
      <c r="L281" s="356">
        <f t="shared" si="95"/>
        <v>0</v>
      </c>
      <c r="M281" s="355">
        <f t="shared" si="95"/>
        <v>0</v>
      </c>
      <c r="N281" s="356">
        <f t="shared" si="95"/>
        <v>0</v>
      </c>
      <c r="O281" s="355">
        <f t="shared" si="95"/>
        <v>0</v>
      </c>
      <c r="P281" s="356">
        <f t="shared" si="95"/>
        <v>0</v>
      </c>
      <c r="Q281" s="355">
        <f t="shared" si="95"/>
        <v>0</v>
      </c>
      <c r="R281" s="356">
        <f t="shared" si="95"/>
        <v>0</v>
      </c>
      <c r="S281" s="355">
        <f t="shared" si="95"/>
        <v>0</v>
      </c>
      <c r="T281" s="356">
        <f t="shared" si="95"/>
        <v>0</v>
      </c>
      <c r="U281" s="355">
        <f t="shared" si="95"/>
        <v>0</v>
      </c>
      <c r="V281" s="356">
        <f t="shared" si="95"/>
        <v>0</v>
      </c>
      <c r="W281" s="355">
        <f t="shared" si="95"/>
        <v>0</v>
      </c>
      <c r="X281" s="356">
        <f t="shared" si="95"/>
        <v>0</v>
      </c>
      <c r="Y281" s="355">
        <f t="shared" si="95"/>
        <v>0</v>
      </c>
      <c r="Z281" s="356">
        <f t="shared" si="95"/>
        <v>0</v>
      </c>
    </row>
    <row r="282" spans="1:26" x14ac:dyDescent="0.2">
      <c r="A282" s="699"/>
      <c r="B282" s="362" t="s">
        <v>377</v>
      </c>
      <c r="C282" s="355"/>
      <c r="D282" s="356"/>
      <c r="E282" s="355"/>
      <c r="F282" s="356"/>
      <c r="G282" s="355">
        <f t="shared" ref="G282:Z282" si="96">G$10-G271</f>
        <v>-11</v>
      </c>
      <c r="H282" s="356">
        <f t="shared" si="96"/>
        <v>0</v>
      </c>
      <c r="I282" s="355">
        <f t="shared" si="96"/>
        <v>-161</v>
      </c>
      <c r="J282" s="356">
        <f t="shared" si="96"/>
        <v>0</v>
      </c>
      <c r="K282" s="355">
        <f t="shared" si="96"/>
        <v>-138</v>
      </c>
      <c r="L282" s="356">
        <f t="shared" si="96"/>
        <v>0</v>
      </c>
      <c r="M282" s="355">
        <f t="shared" si="96"/>
        <v>-148</v>
      </c>
      <c r="N282" s="356">
        <f t="shared" si="96"/>
        <v>0</v>
      </c>
      <c r="O282" s="355">
        <f t="shared" si="96"/>
        <v>-188</v>
      </c>
      <c r="P282" s="356">
        <f t="shared" si="96"/>
        <v>-0.10000000000000009</v>
      </c>
      <c r="Q282" s="355">
        <f t="shared" si="96"/>
        <v>-124</v>
      </c>
      <c r="R282" s="356">
        <f t="shared" si="96"/>
        <v>0</v>
      </c>
      <c r="S282" s="355">
        <f t="shared" si="96"/>
        <v>-172</v>
      </c>
      <c r="T282" s="356">
        <f t="shared" si="96"/>
        <v>-9.9999999999999645E-2</v>
      </c>
      <c r="U282" s="355">
        <f t="shared" si="96"/>
        <v>-108</v>
      </c>
      <c r="V282" s="356">
        <f t="shared" si="96"/>
        <v>-0.10000000000000009</v>
      </c>
      <c r="W282" s="355">
        <f t="shared" si="96"/>
        <v>-310</v>
      </c>
      <c r="X282" s="356">
        <f t="shared" si="96"/>
        <v>-0.10000000000000009</v>
      </c>
      <c r="Y282" s="355">
        <f t="shared" si="96"/>
        <v>-68</v>
      </c>
      <c r="Z282" s="356">
        <f t="shared" si="96"/>
        <v>0</v>
      </c>
    </row>
    <row r="283" spans="1:26" x14ac:dyDescent="0.2">
      <c r="A283" s="699"/>
      <c r="B283" s="362" t="s">
        <v>378</v>
      </c>
      <c r="C283" s="355"/>
      <c r="D283" s="356"/>
      <c r="E283" s="355"/>
      <c r="F283" s="356"/>
      <c r="G283" s="355">
        <f t="shared" ref="G283:Z283" si="97">G$11-G272</f>
        <v>3915</v>
      </c>
      <c r="H283" s="356">
        <f t="shared" si="97"/>
        <v>13.000000000000002</v>
      </c>
      <c r="I283" s="355">
        <f t="shared" si="97"/>
        <v>67651</v>
      </c>
      <c r="J283" s="356">
        <f t="shared" si="97"/>
        <v>18.8</v>
      </c>
      <c r="K283" s="355">
        <f t="shared" si="97"/>
        <v>41280</v>
      </c>
      <c r="L283" s="356">
        <f t="shared" si="97"/>
        <v>17.2</v>
      </c>
      <c r="M283" s="355">
        <f t="shared" si="97"/>
        <v>62022</v>
      </c>
      <c r="N283" s="356">
        <f t="shared" si="97"/>
        <v>17.200000000000003</v>
      </c>
      <c r="O283" s="355">
        <f t="shared" si="97"/>
        <v>105086</v>
      </c>
      <c r="P283" s="356">
        <f t="shared" si="97"/>
        <v>29.2</v>
      </c>
      <c r="Q283" s="355">
        <f t="shared" si="97"/>
        <v>70080</v>
      </c>
      <c r="R283" s="356">
        <f t="shared" si="97"/>
        <v>29.2</v>
      </c>
      <c r="S283" s="355">
        <f t="shared" si="97"/>
        <v>98112</v>
      </c>
      <c r="T283" s="356">
        <f t="shared" si="97"/>
        <v>40.9</v>
      </c>
      <c r="U283" s="355">
        <f t="shared" si="97"/>
        <v>37152</v>
      </c>
      <c r="V283" s="356">
        <f t="shared" si="97"/>
        <v>11.600000000000001</v>
      </c>
      <c r="W283" s="355">
        <f t="shared" si="97"/>
        <v>151638</v>
      </c>
      <c r="X283" s="356">
        <f t="shared" si="97"/>
        <v>42.1</v>
      </c>
      <c r="Y283" s="355">
        <f t="shared" si="97"/>
        <v>27562</v>
      </c>
      <c r="Z283" s="356">
        <f t="shared" si="97"/>
        <v>11.5</v>
      </c>
    </row>
    <row r="284" spans="1:26" x14ac:dyDescent="0.2">
      <c r="A284" s="699"/>
      <c r="B284" s="362" t="s">
        <v>379</v>
      </c>
      <c r="C284" s="355"/>
      <c r="D284" s="356"/>
      <c r="E284" s="355"/>
      <c r="F284" s="356"/>
      <c r="G284" s="355">
        <f t="shared" ref="G284:Z284" si="98">G$12-G273</f>
        <v>0</v>
      </c>
      <c r="H284" s="356">
        <f t="shared" si="98"/>
        <v>0</v>
      </c>
      <c r="I284" s="355">
        <f t="shared" si="98"/>
        <v>0</v>
      </c>
      <c r="J284" s="356">
        <f t="shared" si="98"/>
        <v>0</v>
      </c>
      <c r="K284" s="355">
        <f t="shared" si="98"/>
        <v>0</v>
      </c>
      <c r="L284" s="356">
        <f t="shared" si="98"/>
        <v>0</v>
      </c>
      <c r="M284" s="355">
        <f t="shared" si="98"/>
        <v>0</v>
      </c>
      <c r="N284" s="356">
        <f t="shared" si="98"/>
        <v>0</v>
      </c>
      <c r="O284" s="355">
        <f t="shared" si="98"/>
        <v>0</v>
      </c>
      <c r="P284" s="356">
        <f t="shared" si="98"/>
        <v>0</v>
      </c>
      <c r="Q284" s="355">
        <f t="shared" si="98"/>
        <v>0</v>
      </c>
      <c r="R284" s="356">
        <f t="shared" si="98"/>
        <v>0</v>
      </c>
      <c r="S284" s="355">
        <f t="shared" si="98"/>
        <v>0</v>
      </c>
      <c r="T284" s="356">
        <f t="shared" si="98"/>
        <v>0</v>
      </c>
      <c r="U284" s="355">
        <f t="shared" si="98"/>
        <v>0</v>
      </c>
      <c r="V284" s="356">
        <f t="shared" si="98"/>
        <v>0</v>
      </c>
      <c r="W284" s="355">
        <f t="shared" si="98"/>
        <v>0</v>
      </c>
      <c r="X284" s="356">
        <f t="shared" si="98"/>
        <v>0</v>
      </c>
      <c r="Y284" s="355">
        <f t="shared" si="98"/>
        <v>0</v>
      </c>
      <c r="Z284" s="356">
        <f t="shared" si="98"/>
        <v>0</v>
      </c>
    </row>
    <row r="285" spans="1:26" x14ac:dyDescent="0.2">
      <c r="A285" s="699"/>
      <c r="B285" s="362" t="s">
        <v>380</v>
      </c>
      <c r="C285" s="355"/>
      <c r="D285" s="356"/>
      <c r="E285" s="355"/>
      <c r="F285" s="356"/>
      <c r="G285" s="355">
        <f t="shared" ref="G285:Z285" si="99">G$13-G274</f>
        <v>0</v>
      </c>
      <c r="H285" s="356">
        <f t="shared" si="99"/>
        <v>0</v>
      </c>
      <c r="I285" s="355">
        <f t="shared" si="99"/>
        <v>0</v>
      </c>
      <c r="J285" s="356">
        <f t="shared" si="99"/>
        <v>0</v>
      </c>
      <c r="K285" s="355">
        <f t="shared" si="99"/>
        <v>0</v>
      </c>
      <c r="L285" s="356">
        <f t="shared" si="99"/>
        <v>0</v>
      </c>
      <c r="M285" s="355">
        <f t="shared" si="99"/>
        <v>0</v>
      </c>
      <c r="N285" s="356">
        <f t="shared" si="99"/>
        <v>0</v>
      </c>
      <c r="O285" s="355">
        <f t="shared" si="99"/>
        <v>0</v>
      </c>
      <c r="P285" s="356">
        <f t="shared" si="99"/>
        <v>0</v>
      </c>
      <c r="Q285" s="355">
        <f t="shared" si="99"/>
        <v>0</v>
      </c>
      <c r="R285" s="356">
        <f t="shared" si="99"/>
        <v>0</v>
      </c>
      <c r="S285" s="355">
        <f t="shared" si="99"/>
        <v>0</v>
      </c>
      <c r="T285" s="356">
        <f t="shared" si="99"/>
        <v>0</v>
      </c>
      <c r="U285" s="355">
        <f t="shared" si="99"/>
        <v>0</v>
      </c>
      <c r="V285" s="356">
        <f t="shared" si="99"/>
        <v>0</v>
      </c>
      <c r="W285" s="355">
        <f t="shared" si="99"/>
        <v>0</v>
      </c>
      <c r="X285" s="356">
        <f t="shared" si="99"/>
        <v>0</v>
      </c>
      <c r="Y285" s="355">
        <f t="shared" si="99"/>
        <v>0</v>
      </c>
      <c r="Z285" s="356">
        <f t="shared" si="99"/>
        <v>0</v>
      </c>
    </row>
    <row r="286" spans="1:26" x14ac:dyDescent="0.2">
      <c r="A286" s="699"/>
      <c r="B286" s="362" t="s">
        <v>381</v>
      </c>
      <c r="C286" s="355"/>
      <c r="D286" s="356"/>
      <c r="E286" s="355"/>
      <c r="F286" s="356"/>
      <c r="G286" s="355">
        <f t="shared" ref="G286:Z286" si="100">G$14-G275</f>
        <v>0</v>
      </c>
      <c r="H286" s="356">
        <f t="shared" si="100"/>
        <v>0</v>
      </c>
      <c r="I286" s="355">
        <f t="shared" si="100"/>
        <v>0</v>
      </c>
      <c r="J286" s="356">
        <f t="shared" si="100"/>
        <v>0</v>
      </c>
      <c r="K286" s="355">
        <f t="shared" si="100"/>
        <v>0</v>
      </c>
      <c r="L286" s="356">
        <f t="shared" si="100"/>
        <v>0</v>
      </c>
      <c r="M286" s="355">
        <f t="shared" si="100"/>
        <v>0</v>
      </c>
      <c r="N286" s="356">
        <f t="shared" si="100"/>
        <v>0</v>
      </c>
      <c r="O286" s="355">
        <f t="shared" si="100"/>
        <v>0</v>
      </c>
      <c r="P286" s="356">
        <f t="shared" si="100"/>
        <v>0</v>
      </c>
      <c r="Q286" s="355">
        <f t="shared" si="100"/>
        <v>0</v>
      </c>
      <c r="R286" s="356">
        <f t="shared" si="100"/>
        <v>0</v>
      </c>
      <c r="S286" s="355">
        <f t="shared" si="100"/>
        <v>0</v>
      </c>
      <c r="T286" s="356">
        <f t="shared" si="100"/>
        <v>0</v>
      </c>
      <c r="U286" s="355">
        <f t="shared" si="100"/>
        <v>0</v>
      </c>
      <c r="V286" s="356">
        <f t="shared" si="100"/>
        <v>0</v>
      </c>
      <c r="W286" s="355">
        <f t="shared" si="100"/>
        <v>0</v>
      </c>
      <c r="X286" s="356">
        <f t="shared" si="100"/>
        <v>0</v>
      </c>
      <c r="Y286" s="355">
        <f t="shared" si="100"/>
        <v>0</v>
      </c>
      <c r="Z286" s="356">
        <f t="shared" si="100"/>
        <v>0</v>
      </c>
    </row>
    <row r="287" spans="1:26" s="20" customFormat="1" x14ac:dyDescent="0.2">
      <c r="A287" s="699"/>
      <c r="B287" s="363" t="s">
        <v>382</v>
      </c>
      <c r="C287" s="357"/>
      <c r="D287" s="358"/>
      <c r="E287" s="357"/>
      <c r="F287" s="358"/>
      <c r="G287" s="357">
        <f t="shared" ref="G287:Z287" si="101">G$15-G276</f>
        <v>939</v>
      </c>
      <c r="H287" s="358">
        <f t="shared" si="101"/>
        <v>3.0999999999999943</v>
      </c>
      <c r="I287" s="357">
        <f t="shared" si="101"/>
        <v>22165</v>
      </c>
      <c r="J287" s="358">
        <f t="shared" si="101"/>
        <v>6.0999999999999943</v>
      </c>
      <c r="K287" s="357">
        <f t="shared" si="101"/>
        <v>7679</v>
      </c>
      <c r="L287" s="358">
        <f t="shared" si="101"/>
        <v>3.1999999999999886</v>
      </c>
      <c r="M287" s="357">
        <f t="shared" si="101"/>
        <v>14665</v>
      </c>
      <c r="N287" s="358">
        <f t="shared" si="101"/>
        <v>4</v>
      </c>
      <c r="O287" s="357">
        <f t="shared" si="101"/>
        <v>7479</v>
      </c>
      <c r="P287" s="358">
        <f t="shared" si="101"/>
        <v>2.0999999999999659</v>
      </c>
      <c r="Q287" s="357">
        <f t="shared" si="101"/>
        <v>11541</v>
      </c>
      <c r="R287" s="358">
        <f t="shared" si="101"/>
        <v>4.9000000000000341</v>
      </c>
      <c r="S287" s="357">
        <f t="shared" si="101"/>
        <v>7097</v>
      </c>
      <c r="T287" s="358">
        <f t="shared" si="101"/>
        <v>2.9000000000000057</v>
      </c>
      <c r="U287" s="357">
        <f t="shared" si="101"/>
        <v>7418</v>
      </c>
      <c r="V287" s="358">
        <f t="shared" si="101"/>
        <v>2.2999999999999829</v>
      </c>
      <c r="W287" s="357">
        <f t="shared" si="101"/>
        <v>14705</v>
      </c>
      <c r="X287" s="358">
        <f t="shared" si="101"/>
        <v>4.0999999999999943</v>
      </c>
      <c r="Y287" s="357">
        <f t="shared" si="101"/>
        <v>2192</v>
      </c>
      <c r="Z287" s="358">
        <f t="shared" si="101"/>
        <v>1</v>
      </c>
    </row>
    <row r="288" spans="1:26" s="216" customFormat="1" x14ac:dyDescent="0.2">
      <c r="A288" s="699"/>
      <c r="B288" s="352" t="s">
        <v>491</v>
      </c>
      <c r="C288" s="353"/>
      <c r="D288" s="354"/>
      <c r="E288" s="380"/>
      <c r="F288" s="354"/>
      <c r="G288" s="289" t="s">
        <v>372</v>
      </c>
      <c r="H288" s="291" t="s">
        <v>397</v>
      </c>
      <c r="I288" s="289" t="s">
        <v>372</v>
      </c>
      <c r="J288" s="291" t="s">
        <v>397</v>
      </c>
      <c r="K288" s="289" t="s">
        <v>372</v>
      </c>
      <c r="L288" s="291" t="s">
        <v>397</v>
      </c>
      <c r="M288" s="289" t="s">
        <v>372</v>
      </c>
      <c r="N288" s="291" t="s">
        <v>397</v>
      </c>
      <c r="O288" s="289" t="s">
        <v>372</v>
      </c>
      <c r="P288" s="291" t="s">
        <v>397</v>
      </c>
      <c r="Q288" s="289" t="s">
        <v>372</v>
      </c>
      <c r="R288" s="291" t="s">
        <v>397</v>
      </c>
      <c r="S288" s="289" t="s">
        <v>372</v>
      </c>
      <c r="T288" s="291" t="s">
        <v>397</v>
      </c>
      <c r="U288" s="289" t="s">
        <v>372</v>
      </c>
      <c r="V288" s="291" t="s">
        <v>397</v>
      </c>
      <c r="W288" s="289" t="s">
        <v>372</v>
      </c>
      <c r="X288" s="291" t="s">
        <v>397</v>
      </c>
      <c r="Y288" s="289" t="s">
        <v>372</v>
      </c>
      <c r="Z288" s="291" t="s">
        <v>397</v>
      </c>
    </row>
    <row r="289" spans="1:27" x14ac:dyDescent="0.2">
      <c r="A289" s="699"/>
      <c r="B289" s="272" t="s">
        <v>373</v>
      </c>
      <c r="C289" s="355"/>
      <c r="D289" s="356"/>
      <c r="E289" s="355"/>
      <c r="F289" s="356"/>
      <c r="G289" s="230">
        <f t="shared" ref="G289:Z297" si="102">G278-G253</f>
        <v>-1796</v>
      </c>
      <c r="H289" s="293">
        <f t="shared" si="102"/>
        <v>-6</v>
      </c>
      <c r="I289" s="230">
        <f t="shared" si="102"/>
        <v>-31147</v>
      </c>
      <c r="J289" s="293">
        <f t="shared" si="102"/>
        <v>-8.7000000000000028</v>
      </c>
      <c r="K289" s="230">
        <f t="shared" si="102"/>
        <v>-23348</v>
      </c>
      <c r="L289" s="293">
        <f t="shared" si="102"/>
        <v>-9.7000000000000028</v>
      </c>
      <c r="M289" s="230">
        <f t="shared" si="102"/>
        <v>-30866</v>
      </c>
      <c r="N289" s="293">
        <f t="shared" si="102"/>
        <v>-8.6000000000000014</v>
      </c>
      <c r="O289" s="230">
        <f t="shared" si="102"/>
        <v>-58415</v>
      </c>
      <c r="P289" s="293">
        <f t="shared" si="102"/>
        <v>-16.200000000000003</v>
      </c>
      <c r="Q289" s="230">
        <f t="shared" si="102"/>
        <v>-35325</v>
      </c>
      <c r="R289" s="293">
        <f t="shared" si="102"/>
        <v>-14.700000000000003</v>
      </c>
      <c r="S289" s="230">
        <f t="shared" si="102"/>
        <v>-65283</v>
      </c>
      <c r="T289" s="293">
        <f t="shared" si="102"/>
        <v>-27.199999999999989</v>
      </c>
      <c r="U289" s="230">
        <f t="shared" si="102"/>
        <v>-16498</v>
      </c>
      <c r="V289" s="293">
        <f t="shared" si="102"/>
        <v>-5.2000000000000028</v>
      </c>
      <c r="W289" s="230">
        <f t="shared" si="102"/>
        <v>-92254</v>
      </c>
      <c r="X289" s="293">
        <f t="shared" si="102"/>
        <v>-25.700000000000003</v>
      </c>
      <c r="Y289" s="230">
        <f t="shared" si="102"/>
        <v>-12700</v>
      </c>
      <c r="Z289" s="293">
        <f t="shared" si="102"/>
        <v>-5.2999999999999972</v>
      </c>
    </row>
    <row r="290" spans="1:27" x14ac:dyDescent="0.2">
      <c r="A290" s="699"/>
      <c r="B290" s="272" t="s">
        <v>374</v>
      </c>
      <c r="C290" s="355"/>
      <c r="D290" s="356"/>
      <c r="E290" s="355"/>
      <c r="F290" s="356"/>
      <c r="G290" s="230">
        <f t="shared" si="102"/>
        <v>-3</v>
      </c>
      <c r="H290" s="293">
        <f t="shared" si="102"/>
        <v>0</v>
      </c>
      <c r="I290" s="230">
        <f t="shared" si="102"/>
        <v>-82</v>
      </c>
      <c r="J290" s="293">
        <f t="shared" si="102"/>
        <v>-9.9999999999999645E-2</v>
      </c>
      <c r="K290" s="230">
        <f t="shared" si="102"/>
        <v>-31</v>
      </c>
      <c r="L290" s="293">
        <f t="shared" si="102"/>
        <v>0</v>
      </c>
      <c r="M290" s="230">
        <f t="shared" si="102"/>
        <v>-59</v>
      </c>
      <c r="N290" s="293">
        <f t="shared" si="102"/>
        <v>0</v>
      </c>
      <c r="O290" s="230">
        <f t="shared" si="102"/>
        <v>-380</v>
      </c>
      <c r="P290" s="293">
        <f t="shared" si="102"/>
        <v>-9.9999999999997868E-2</v>
      </c>
      <c r="Q290" s="230">
        <f t="shared" si="102"/>
        <v>-382</v>
      </c>
      <c r="R290" s="293">
        <f t="shared" si="102"/>
        <v>-0.19999999999999929</v>
      </c>
      <c r="S290" s="230">
        <f t="shared" si="102"/>
        <v>-29</v>
      </c>
      <c r="T290" s="293">
        <f t="shared" si="102"/>
        <v>0</v>
      </c>
      <c r="U290" s="230">
        <f t="shared" si="102"/>
        <v>-137</v>
      </c>
      <c r="V290" s="293">
        <f t="shared" si="102"/>
        <v>0</v>
      </c>
      <c r="W290" s="230">
        <f t="shared" si="102"/>
        <v>-97</v>
      </c>
      <c r="X290" s="293">
        <f t="shared" si="102"/>
        <v>0</v>
      </c>
      <c r="Y290" s="230">
        <f t="shared" si="102"/>
        <v>-6</v>
      </c>
      <c r="Z290" s="293">
        <f t="shared" si="102"/>
        <v>-9.9999999999999645E-2</v>
      </c>
    </row>
    <row r="291" spans="1:27" x14ac:dyDescent="0.2">
      <c r="A291" s="699"/>
      <c r="B291" s="272" t="s">
        <v>375</v>
      </c>
      <c r="C291" s="355"/>
      <c r="D291" s="356"/>
      <c r="E291" s="355"/>
      <c r="F291" s="356"/>
      <c r="G291" s="230">
        <f t="shared" si="102"/>
        <v>0</v>
      </c>
      <c r="H291" s="293">
        <f t="shared" si="102"/>
        <v>0</v>
      </c>
      <c r="I291" s="230">
        <f t="shared" si="102"/>
        <v>0</v>
      </c>
      <c r="J291" s="293">
        <f t="shared" si="102"/>
        <v>0</v>
      </c>
      <c r="K291" s="230">
        <f t="shared" si="102"/>
        <v>0</v>
      </c>
      <c r="L291" s="293">
        <f t="shared" si="102"/>
        <v>0</v>
      </c>
      <c r="M291" s="230">
        <f t="shared" si="102"/>
        <v>0</v>
      </c>
      <c r="N291" s="293">
        <f t="shared" si="102"/>
        <v>0</v>
      </c>
      <c r="O291" s="230">
        <f t="shared" si="102"/>
        <v>0</v>
      </c>
      <c r="P291" s="293">
        <f t="shared" si="102"/>
        <v>0</v>
      </c>
      <c r="Q291" s="230">
        <f t="shared" si="102"/>
        <v>0</v>
      </c>
      <c r="R291" s="293">
        <f t="shared" si="102"/>
        <v>0</v>
      </c>
      <c r="S291" s="230">
        <f t="shared" si="102"/>
        <v>0</v>
      </c>
      <c r="T291" s="293">
        <f t="shared" si="102"/>
        <v>0</v>
      </c>
      <c r="U291" s="230">
        <f t="shared" si="102"/>
        <v>0</v>
      </c>
      <c r="V291" s="293">
        <f t="shared" si="102"/>
        <v>0</v>
      </c>
      <c r="W291" s="230">
        <f t="shared" si="102"/>
        <v>0</v>
      </c>
      <c r="X291" s="293">
        <f t="shared" si="102"/>
        <v>0</v>
      </c>
      <c r="Y291" s="230">
        <f t="shared" si="102"/>
        <v>0</v>
      </c>
      <c r="Z291" s="293">
        <f t="shared" si="102"/>
        <v>0</v>
      </c>
    </row>
    <row r="292" spans="1:27" x14ac:dyDescent="0.2">
      <c r="A292" s="699"/>
      <c r="B292" s="272" t="s">
        <v>376</v>
      </c>
      <c r="C292" s="355"/>
      <c r="D292" s="356"/>
      <c r="E292" s="355"/>
      <c r="F292" s="356"/>
      <c r="G292" s="230">
        <f t="shared" si="102"/>
        <v>0</v>
      </c>
      <c r="H292" s="293">
        <f t="shared" si="102"/>
        <v>0</v>
      </c>
      <c r="I292" s="230">
        <f t="shared" si="102"/>
        <v>0</v>
      </c>
      <c r="J292" s="293">
        <f t="shared" si="102"/>
        <v>0</v>
      </c>
      <c r="K292" s="230">
        <f t="shared" si="102"/>
        <v>0</v>
      </c>
      <c r="L292" s="293">
        <f t="shared" si="102"/>
        <v>0</v>
      </c>
      <c r="M292" s="230">
        <f t="shared" si="102"/>
        <v>0</v>
      </c>
      <c r="N292" s="293">
        <f t="shared" si="102"/>
        <v>0</v>
      </c>
      <c r="O292" s="230">
        <f t="shared" si="102"/>
        <v>0</v>
      </c>
      <c r="P292" s="293">
        <f t="shared" si="102"/>
        <v>0</v>
      </c>
      <c r="Q292" s="230">
        <f t="shared" si="102"/>
        <v>0</v>
      </c>
      <c r="R292" s="293">
        <f t="shared" si="102"/>
        <v>0</v>
      </c>
      <c r="S292" s="230">
        <f t="shared" si="102"/>
        <v>0</v>
      </c>
      <c r="T292" s="293">
        <f t="shared" si="102"/>
        <v>0</v>
      </c>
      <c r="U292" s="230">
        <f t="shared" si="102"/>
        <v>0</v>
      </c>
      <c r="V292" s="293">
        <f t="shared" si="102"/>
        <v>0</v>
      </c>
      <c r="W292" s="230">
        <f t="shared" si="102"/>
        <v>0</v>
      </c>
      <c r="X292" s="293">
        <f t="shared" si="102"/>
        <v>0</v>
      </c>
      <c r="Y292" s="230">
        <f t="shared" si="102"/>
        <v>0</v>
      </c>
      <c r="Z292" s="293">
        <f t="shared" si="102"/>
        <v>0</v>
      </c>
    </row>
    <row r="293" spans="1:27" x14ac:dyDescent="0.2">
      <c r="A293" s="699"/>
      <c r="B293" s="272" t="s">
        <v>377</v>
      </c>
      <c r="C293" s="355"/>
      <c r="D293" s="356"/>
      <c r="E293" s="355"/>
      <c r="F293" s="356"/>
      <c r="G293" s="230">
        <f t="shared" si="102"/>
        <v>-6</v>
      </c>
      <c r="H293" s="293">
        <f t="shared" si="102"/>
        <v>0</v>
      </c>
      <c r="I293" s="230">
        <f t="shared" si="102"/>
        <v>-107</v>
      </c>
      <c r="J293" s="293">
        <f t="shared" si="102"/>
        <v>0</v>
      </c>
      <c r="K293" s="230">
        <f t="shared" si="102"/>
        <v>-95</v>
      </c>
      <c r="L293" s="293">
        <f t="shared" si="102"/>
        <v>0</v>
      </c>
      <c r="M293" s="230">
        <f t="shared" si="102"/>
        <v>-94</v>
      </c>
      <c r="N293" s="293">
        <f t="shared" si="102"/>
        <v>0</v>
      </c>
      <c r="O293" s="230">
        <f t="shared" si="102"/>
        <v>-114</v>
      </c>
      <c r="P293" s="293">
        <f t="shared" si="102"/>
        <v>-0.10000000000000009</v>
      </c>
      <c r="Q293" s="230">
        <f t="shared" si="102"/>
        <v>-74</v>
      </c>
      <c r="R293" s="293">
        <f t="shared" si="102"/>
        <v>0</v>
      </c>
      <c r="S293" s="230">
        <f t="shared" si="102"/>
        <v>-122</v>
      </c>
      <c r="T293" s="293">
        <f t="shared" si="102"/>
        <v>-9.9999999999999645E-2</v>
      </c>
      <c r="U293" s="230">
        <f t="shared" si="102"/>
        <v>-60</v>
      </c>
      <c r="V293" s="293">
        <f t="shared" si="102"/>
        <v>-0.10000000000000009</v>
      </c>
      <c r="W293" s="230">
        <f t="shared" si="102"/>
        <v>-207</v>
      </c>
      <c r="X293" s="293">
        <f t="shared" si="102"/>
        <v>-0.10000000000000009</v>
      </c>
      <c r="Y293" s="230">
        <f t="shared" si="102"/>
        <v>-34</v>
      </c>
      <c r="Z293" s="293">
        <f t="shared" si="102"/>
        <v>0</v>
      </c>
    </row>
    <row r="294" spans="1:27" x14ac:dyDescent="0.2">
      <c r="A294" s="699"/>
      <c r="B294" s="272" t="s">
        <v>378</v>
      </c>
      <c r="C294" s="355"/>
      <c r="D294" s="356"/>
      <c r="E294" s="355"/>
      <c r="F294" s="356"/>
      <c r="G294" s="230">
        <f t="shared" si="102"/>
        <v>2349</v>
      </c>
      <c r="H294" s="293">
        <f t="shared" si="102"/>
        <v>7.7999999999999989</v>
      </c>
      <c r="I294" s="230">
        <f t="shared" si="102"/>
        <v>45101</v>
      </c>
      <c r="J294" s="293">
        <f t="shared" si="102"/>
        <v>12.600000000000001</v>
      </c>
      <c r="K294" s="230">
        <f t="shared" si="102"/>
        <v>28380</v>
      </c>
      <c r="L294" s="293">
        <f t="shared" si="102"/>
        <v>11.8</v>
      </c>
      <c r="M294" s="230">
        <f t="shared" si="102"/>
        <v>39472</v>
      </c>
      <c r="N294" s="293">
        <f t="shared" si="102"/>
        <v>11.000000000000004</v>
      </c>
      <c r="O294" s="230">
        <f t="shared" si="102"/>
        <v>63106</v>
      </c>
      <c r="P294" s="293">
        <f t="shared" si="102"/>
        <v>17.500000000000004</v>
      </c>
      <c r="Q294" s="230">
        <f t="shared" si="102"/>
        <v>42048</v>
      </c>
      <c r="R294" s="293">
        <f t="shared" si="102"/>
        <v>17.500000000000004</v>
      </c>
      <c r="S294" s="230">
        <f t="shared" si="102"/>
        <v>70080</v>
      </c>
      <c r="T294" s="293">
        <f t="shared" si="102"/>
        <v>29.200000000000003</v>
      </c>
      <c r="U294" s="230">
        <f t="shared" si="102"/>
        <v>20640</v>
      </c>
      <c r="V294" s="293">
        <f t="shared" si="102"/>
        <v>6.4000000000000021</v>
      </c>
      <c r="W294" s="230">
        <f t="shared" si="102"/>
        <v>101108</v>
      </c>
      <c r="X294" s="293">
        <f t="shared" si="102"/>
        <v>28.1</v>
      </c>
      <c r="Y294" s="230">
        <f t="shared" si="102"/>
        <v>13781</v>
      </c>
      <c r="Z294" s="293">
        <f t="shared" si="102"/>
        <v>5.8000000000000007</v>
      </c>
    </row>
    <row r="295" spans="1:27" x14ac:dyDescent="0.2">
      <c r="A295" s="699"/>
      <c r="B295" s="272" t="s">
        <v>379</v>
      </c>
      <c r="C295" s="355"/>
      <c r="D295" s="356"/>
      <c r="E295" s="355"/>
      <c r="F295" s="356"/>
      <c r="G295" s="230">
        <f t="shared" si="102"/>
        <v>0</v>
      </c>
      <c r="H295" s="293">
        <f t="shared" si="102"/>
        <v>0</v>
      </c>
      <c r="I295" s="230">
        <f t="shared" si="102"/>
        <v>0</v>
      </c>
      <c r="J295" s="293">
        <f t="shared" si="102"/>
        <v>0</v>
      </c>
      <c r="K295" s="230">
        <f t="shared" si="102"/>
        <v>0</v>
      </c>
      <c r="L295" s="293">
        <f t="shared" si="102"/>
        <v>0</v>
      </c>
      <c r="M295" s="230">
        <f t="shared" si="102"/>
        <v>0</v>
      </c>
      <c r="N295" s="293">
        <f t="shared" si="102"/>
        <v>0</v>
      </c>
      <c r="O295" s="230">
        <f t="shared" si="102"/>
        <v>0</v>
      </c>
      <c r="P295" s="293">
        <f t="shared" si="102"/>
        <v>0</v>
      </c>
      <c r="Q295" s="230">
        <f t="shared" si="102"/>
        <v>0</v>
      </c>
      <c r="R295" s="293">
        <f t="shared" si="102"/>
        <v>0</v>
      </c>
      <c r="S295" s="230">
        <f t="shared" si="102"/>
        <v>0</v>
      </c>
      <c r="T295" s="293">
        <f t="shared" si="102"/>
        <v>0</v>
      </c>
      <c r="U295" s="230">
        <f t="shared" si="102"/>
        <v>0</v>
      </c>
      <c r="V295" s="293">
        <f t="shared" si="102"/>
        <v>0</v>
      </c>
      <c r="W295" s="230">
        <f t="shared" si="102"/>
        <v>0</v>
      </c>
      <c r="X295" s="293">
        <f t="shared" si="102"/>
        <v>0</v>
      </c>
      <c r="Y295" s="230">
        <f t="shared" si="102"/>
        <v>0</v>
      </c>
      <c r="Z295" s="293">
        <f t="shared" si="102"/>
        <v>0</v>
      </c>
    </row>
    <row r="296" spans="1:27" x14ac:dyDescent="0.2">
      <c r="A296" s="699"/>
      <c r="B296" s="272" t="s">
        <v>380</v>
      </c>
      <c r="C296" s="355"/>
      <c r="D296" s="356"/>
      <c r="E296" s="355"/>
      <c r="F296" s="356"/>
      <c r="G296" s="230">
        <f t="shared" si="102"/>
        <v>0</v>
      </c>
      <c r="H296" s="293">
        <f t="shared" si="102"/>
        <v>0</v>
      </c>
      <c r="I296" s="230">
        <f t="shared" si="102"/>
        <v>0</v>
      </c>
      <c r="J296" s="293">
        <f t="shared" si="102"/>
        <v>0</v>
      </c>
      <c r="K296" s="230">
        <f t="shared" si="102"/>
        <v>0</v>
      </c>
      <c r="L296" s="293">
        <f t="shared" si="102"/>
        <v>0</v>
      </c>
      <c r="M296" s="230">
        <f t="shared" si="102"/>
        <v>0</v>
      </c>
      <c r="N296" s="293">
        <f t="shared" si="102"/>
        <v>0</v>
      </c>
      <c r="O296" s="230">
        <f t="shared" si="102"/>
        <v>0</v>
      </c>
      <c r="P296" s="293">
        <f t="shared" si="102"/>
        <v>0</v>
      </c>
      <c r="Q296" s="230">
        <f t="shared" si="102"/>
        <v>0</v>
      </c>
      <c r="R296" s="293">
        <f t="shared" si="102"/>
        <v>0</v>
      </c>
      <c r="S296" s="230">
        <f t="shared" si="102"/>
        <v>0</v>
      </c>
      <c r="T296" s="293">
        <f t="shared" si="102"/>
        <v>0</v>
      </c>
      <c r="U296" s="230">
        <f t="shared" si="102"/>
        <v>0</v>
      </c>
      <c r="V296" s="293">
        <f t="shared" si="102"/>
        <v>0</v>
      </c>
      <c r="W296" s="230">
        <f t="shared" si="102"/>
        <v>0</v>
      </c>
      <c r="X296" s="293">
        <f t="shared" si="102"/>
        <v>0</v>
      </c>
      <c r="Y296" s="230">
        <f t="shared" si="102"/>
        <v>0</v>
      </c>
      <c r="Z296" s="293">
        <f t="shared" si="102"/>
        <v>0</v>
      </c>
    </row>
    <row r="297" spans="1:27" x14ac:dyDescent="0.2">
      <c r="A297" s="699"/>
      <c r="B297" s="272" t="s">
        <v>381</v>
      </c>
      <c r="C297" s="355"/>
      <c r="D297" s="356"/>
      <c r="E297" s="355"/>
      <c r="F297" s="356"/>
      <c r="G297" s="230">
        <f t="shared" si="102"/>
        <v>0</v>
      </c>
      <c r="H297" s="293">
        <f t="shared" si="102"/>
        <v>0</v>
      </c>
      <c r="I297" s="230">
        <f t="shared" si="102"/>
        <v>0</v>
      </c>
      <c r="J297" s="293">
        <f t="shared" si="102"/>
        <v>0</v>
      </c>
      <c r="K297" s="230">
        <f t="shared" si="102"/>
        <v>0</v>
      </c>
      <c r="L297" s="293">
        <f t="shared" si="102"/>
        <v>0</v>
      </c>
      <c r="M297" s="230">
        <f t="shared" si="102"/>
        <v>0</v>
      </c>
      <c r="N297" s="293">
        <f t="shared" si="102"/>
        <v>0</v>
      </c>
      <c r="O297" s="230">
        <f t="shared" si="102"/>
        <v>0</v>
      </c>
      <c r="P297" s="293">
        <f t="shared" si="102"/>
        <v>0</v>
      </c>
      <c r="Q297" s="230">
        <f t="shared" si="102"/>
        <v>0</v>
      </c>
      <c r="R297" s="293">
        <f t="shared" si="102"/>
        <v>0</v>
      </c>
      <c r="S297" s="230">
        <f t="shared" si="102"/>
        <v>0</v>
      </c>
      <c r="T297" s="293">
        <f t="shared" si="102"/>
        <v>0</v>
      </c>
      <c r="U297" s="230">
        <f t="shared" si="102"/>
        <v>0</v>
      </c>
      <c r="V297" s="293">
        <f t="shared" si="102"/>
        <v>0</v>
      </c>
      <c r="W297" s="230">
        <f t="shared" si="102"/>
        <v>0</v>
      </c>
      <c r="X297" s="293">
        <f t="shared" si="102"/>
        <v>0</v>
      </c>
      <c r="Y297" s="230">
        <f t="shared" si="102"/>
        <v>0</v>
      </c>
      <c r="Z297" s="293">
        <f t="shared" si="102"/>
        <v>0</v>
      </c>
    </row>
    <row r="298" spans="1:27" s="20" customFormat="1" x14ac:dyDescent="0.2">
      <c r="A298" s="700"/>
      <c r="B298" s="274" t="s">
        <v>1059</v>
      </c>
      <c r="C298" s="357"/>
      <c r="D298" s="358"/>
      <c r="E298" s="357"/>
      <c r="F298" s="358"/>
      <c r="G298" s="275">
        <f>SUM(G289:G297)</f>
        <v>544</v>
      </c>
      <c r="H298" s="294">
        <f>SUM(H289:H297)</f>
        <v>1.7999999999999989</v>
      </c>
      <c r="I298" s="275">
        <f>I294</f>
        <v>45101</v>
      </c>
      <c r="J298" s="294">
        <f>J294</f>
        <v>12.600000000000001</v>
      </c>
      <c r="K298" s="275">
        <f>SUM(K289:K297)</f>
        <v>4906</v>
      </c>
      <c r="L298" s="294">
        <f>SUM(L289:L297)</f>
        <v>2.0999999999999979</v>
      </c>
      <c r="M298" s="275">
        <f>M294</f>
        <v>39472</v>
      </c>
      <c r="N298" s="294">
        <f>N294</f>
        <v>11.000000000000004</v>
      </c>
      <c r="O298" s="275">
        <f>O294</f>
        <v>63106</v>
      </c>
      <c r="P298" s="294">
        <f>P294</f>
        <v>17.500000000000004</v>
      </c>
      <c r="Q298" s="275">
        <f>SUM(Q289:Q297)</f>
        <v>6267</v>
      </c>
      <c r="R298" s="294">
        <f>SUM(R289:R297)</f>
        <v>2.6000000000000014</v>
      </c>
      <c r="S298" s="275">
        <f>S294</f>
        <v>70080</v>
      </c>
      <c r="T298" s="294">
        <f>T294</f>
        <v>29.200000000000003</v>
      </c>
      <c r="U298" s="275">
        <f>SUM(U289:U297)</f>
        <v>3945</v>
      </c>
      <c r="V298" s="294">
        <f>SUM(V289:V297)</f>
        <v>1.0999999999999996</v>
      </c>
      <c r="W298" s="275">
        <f>W294</f>
        <v>101108</v>
      </c>
      <c r="X298" s="294">
        <f>X294</f>
        <v>28.1</v>
      </c>
      <c r="Y298" s="275">
        <f>Y294</f>
        <v>13781</v>
      </c>
      <c r="Z298" s="294">
        <f>Z294</f>
        <v>5.8000000000000007</v>
      </c>
    </row>
    <row r="299" spans="1:27" s="227" customFormat="1" x14ac:dyDescent="0.2">
      <c r="A299" s="386"/>
      <c r="B299" s="195"/>
      <c r="C299" s="268"/>
      <c r="D299" s="268"/>
      <c r="E299" s="268"/>
      <c r="F299" s="268"/>
      <c r="G299" s="268"/>
      <c r="H299" s="268"/>
      <c r="I299" s="268"/>
      <c r="J299" s="268"/>
      <c r="K299" s="268"/>
      <c r="L299" s="268"/>
      <c r="M299" s="268"/>
      <c r="N299" s="268"/>
      <c r="O299" s="268"/>
      <c r="P299" s="268"/>
      <c r="Q299" s="268"/>
      <c r="R299" s="268"/>
      <c r="S299" s="268"/>
      <c r="T299" s="268"/>
      <c r="U299" s="268"/>
      <c r="V299" s="268"/>
      <c r="W299" s="268"/>
      <c r="X299" s="268"/>
      <c r="Y299" s="268"/>
      <c r="Z299" s="268"/>
    </row>
    <row r="300" spans="1:27" s="202" customFormat="1" ht="13.15" customHeight="1" x14ac:dyDescent="0.2">
      <c r="A300" s="698" t="s">
        <v>579</v>
      </c>
      <c r="B300" s="269" t="s">
        <v>488</v>
      </c>
      <c r="C300" s="368"/>
      <c r="D300" s="369"/>
      <c r="E300" s="368"/>
      <c r="F300" s="369"/>
      <c r="G300" s="368"/>
      <c r="H300" s="369"/>
      <c r="I300" s="304" t="s">
        <v>486</v>
      </c>
      <c r="J300" s="280" t="s">
        <v>487</v>
      </c>
      <c r="K300" s="368"/>
      <c r="L300" s="369"/>
      <c r="M300" s="304" t="s">
        <v>486</v>
      </c>
      <c r="N300" s="280" t="s">
        <v>487</v>
      </c>
      <c r="O300" s="304" t="s">
        <v>486</v>
      </c>
      <c r="P300" s="280" t="s">
        <v>487</v>
      </c>
      <c r="Q300" s="368"/>
      <c r="R300" s="369"/>
      <c r="S300" s="304" t="s">
        <v>486</v>
      </c>
      <c r="T300" s="280" t="s">
        <v>487</v>
      </c>
      <c r="U300" s="368"/>
      <c r="V300" s="369"/>
      <c r="W300" s="304" t="s">
        <v>486</v>
      </c>
      <c r="X300" s="280" t="s">
        <v>487</v>
      </c>
      <c r="Y300" s="304" t="s">
        <v>486</v>
      </c>
      <c r="Z300" s="314" t="s">
        <v>487</v>
      </c>
    </row>
    <row r="301" spans="1:27" x14ac:dyDescent="0.2">
      <c r="A301" s="699"/>
      <c r="B301" s="316" t="s">
        <v>583</v>
      </c>
      <c r="C301" s="372"/>
      <c r="D301" s="381"/>
      <c r="E301" s="372"/>
      <c r="F301" s="381"/>
      <c r="G301" s="372"/>
      <c r="H301" s="381"/>
      <c r="I301" s="305" t="s">
        <v>585</v>
      </c>
      <c r="J301" s="366" t="s">
        <v>584</v>
      </c>
      <c r="K301" s="372"/>
      <c r="L301" s="381"/>
      <c r="M301" s="305" t="s">
        <v>585</v>
      </c>
      <c r="N301" s="366" t="s">
        <v>584</v>
      </c>
      <c r="O301" s="305" t="s">
        <v>585</v>
      </c>
      <c r="P301" s="366" t="s">
        <v>584</v>
      </c>
      <c r="Q301" s="372"/>
      <c r="R301" s="381"/>
      <c r="S301" s="305" t="s">
        <v>585</v>
      </c>
      <c r="T301" s="366" t="s">
        <v>584</v>
      </c>
      <c r="U301" s="372"/>
      <c r="V301" s="381"/>
      <c r="W301" s="305" t="s">
        <v>585</v>
      </c>
      <c r="X301" s="366" t="s">
        <v>584</v>
      </c>
      <c r="Y301" s="305" t="s">
        <v>585</v>
      </c>
      <c r="Z301" s="366" t="s">
        <v>584</v>
      </c>
    </row>
    <row r="302" spans="1:27" s="45" customFormat="1" x14ac:dyDescent="0.2">
      <c r="A302" s="699"/>
      <c r="B302" s="316" t="s">
        <v>955</v>
      </c>
      <c r="C302" s="377"/>
      <c r="D302" s="381"/>
      <c r="E302" s="377"/>
      <c r="F302" s="381"/>
      <c r="G302" s="377"/>
      <c r="H302" s="381"/>
      <c r="I302" s="235"/>
      <c r="J302" s="366"/>
      <c r="K302" s="377"/>
      <c r="L302" s="381"/>
      <c r="M302" s="235"/>
      <c r="N302" s="366"/>
      <c r="O302" s="235"/>
      <c r="P302" s="366"/>
      <c r="Q302" s="377"/>
      <c r="R302" s="381"/>
      <c r="S302" s="235"/>
      <c r="T302" s="366"/>
      <c r="U302" s="377"/>
      <c r="V302" s="381"/>
      <c r="W302" s="235"/>
      <c r="X302" s="366"/>
      <c r="Y302" s="235"/>
      <c r="Z302" s="366"/>
      <c r="AA302" s="572"/>
    </row>
    <row r="303" spans="1:27" s="45" customFormat="1" x14ac:dyDescent="0.2">
      <c r="A303" s="699"/>
      <c r="B303" s="316" t="s">
        <v>956</v>
      </c>
      <c r="C303" s="377"/>
      <c r="D303" s="381"/>
      <c r="E303" s="377"/>
      <c r="F303" s="381"/>
      <c r="G303" s="377"/>
      <c r="H303" s="381"/>
      <c r="I303" s="235"/>
      <c r="J303" s="366"/>
      <c r="K303" s="377"/>
      <c r="L303" s="381"/>
      <c r="M303" s="235"/>
      <c r="N303" s="366"/>
      <c r="O303" s="235"/>
      <c r="P303" s="366"/>
      <c r="Q303" s="377"/>
      <c r="R303" s="381"/>
      <c r="S303" s="235"/>
      <c r="T303" s="366"/>
      <c r="U303" s="377"/>
      <c r="V303" s="381"/>
      <c r="W303" s="235"/>
      <c r="X303" s="366"/>
      <c r="Y303" s="235"/>
      <c r="Z303" s="366"/>
      <c r="AA303" s="572"/>
    </row>
    <row r="304" spans="1:27" s="45" customFormat="1" x14ac:dyDescent="0.2">
      <c r="A304" s="699"/>
      <c r="B304" s="316" t="s">
        <v>957</v>
      </c>
      <c r="C304" s="377"/>
      <c r="D304" s="381"/>
      <c r="E304" s="377"/>
      <c r="F304" s="381"/>
      <c r="G304" s="377"/>
      <c r="H304" s="381"/>
      <c r="I304" s="235"/>
      <c r="J304" s="366"/>
      <c r="K304" s="377"/>
      <c r="L304" s="381"/>
      <c r="M304" s="235"/>
      <c r="N304" s="366"/>
      <c r="O304" s="235"/>
      <c r="P304" s="366"/>
      <c r="Q304" s="377"/>
      <c r="R304" s="381"/>
      <c r="S304" s="235"/>
      <c r="T304" s="366"/>
      <c r="U304" s="377"/>
      <c r="V304" s="381"/>
      <c r="W304" s="235"/>
      <c r="X304" s="366"/>
      <c r="Y304" s="235"/>
      <c r="Z304" s="366"/>
      <c r="AA304" s="572"/>
    </row>
    <row r="305" spans="1:27" s="574" customFormat="1" x14ac:dyDescent="0.2">
      <c r="A305" s="699"/>
      <c r="B305" s="288" t="s">
        <v>489</v>
      </c>
      <c r="C305" s="353" t="s">
        <v>372</v>
      </c>
      <c r="D305" s="374" t="s">
        <v>397</v>
      </c>
      <c r="E305" s="353" t="s">
        <v>372</v>
      </c>
      <c r="F305" s="374" t="s">
        <v>397</v>
      </c>
      <c r="G305" s="353" t="s">
        <v>372</v>
      </c>
      <c r="H305" s="374" t="s">
        <v>397</v>
      </c>
      <c r="I305" s="289" t="s">
        <v>372</v>
      </c>
      <c r="J305" s="290" t="s">
        <v>397</v>
      </c>
      <c r="K305" s="353" t="s">
        <v>372</v>
      </c>
      <c r="L305" s="374" t="s">
        <v>397</v>
      </c>
      <c r="M305" s="289" t="s">
        <v>372</v>
      </c>
      <c r="N305" s="290" t="s">
        <v>397</v>
      </c>
      <c r="O305" s="289" t="s">
        <v>372</v>
      </c>
      <c r="P305" s="290" t="s">
        <v>397</v>
      </c>
      <c r="Q305" s="353" t="s">
        <v>372</v>
      </c>
      <c r="R305" s="374" t="s">
        <v>397</v>
      </c>
      <c r="S305" s="289" t="s">
        <v>372</v>
      </c>
      <c r="T305" s="290" t="s">
        <v>397</v>
      </c>
      <c r="U305" s="353" t="s">
        <v>372</v>
      </c>
      <c r="V305" s="374" t="s">
        <v>397</v>
      </c>
      <c r="W305" s="289" t="s">
        <v>372</v>
      </c>
      <c r="X305" s="290" t="s">
        <v>397</v>
      </c>
      <c r="Y305" s="289" t="s">
        <v>372</v>
      </c>
      <c r="Z305" s="290" t="s">
        <v>397</v>
      </c>
      <c r="AA305" s="573"/>
    </row>
    <row r="306" spans="1:27" s="45" customFormat="1" x14ac:dyDescent="0.2">
      <c r="A306" s="699"/>
      <c r="B306" s="577" t="s">
        <v>373</v>
      </c>
      <c r="C306" s="377"/>
      <c r="D306" s="381"/>
      <c r="E306" s="377"/>
      <c r="F306" s="381"/>
      <c r="G306" s="377"/>
      <c r="H306" s="381"/>
      <c r="I306" s="230">
        <v>133126</v>
      </c>
      <c r="J306" s="231">
        <v>37</v>
      </c>
      <c r="K306" s="377"/>
      <c r="L306" s="381"/>
      <c r="M306" s="230">
        <v>144932</v>
      </c>
      <c r="N306" s="231">
        <v>40.299999999999997</v>
      </c>
      <c r="O306" s="230">
        <v>214936</v>
      </c>
      <c r="P306" s="231">
        <v>59.7</v>
      </c>
      <c r="Q306" s="377"/>
      <c r="R306" s="381"/>
      <c r="S306" s="230">
        <v>186066</v>
      </c>
      <c r="T306" s="231">
        <v>77.5</v>
      </c>
      <c r="U306" s="377"/>
      <c r="V306" s="381"/>
      <c r="W306" s="230">
        <v>173856</v>
      </c>
      <c r="X306" s="231">
        <v>48.3</v>
      </c>
      <c r="Y306" s="230">
        <v>203892</v>
      </c>
      <c r="Z306" s="231">
        <v>85</v>
      </c>
      <c r="AA306" s="572"/>
    </row>
    <row r="307" spans="1:27" s="45" customFormat="1" x14ac:dyDescent="0.2">
      <c r="A307" s="699"/>
      <c r="B307" s="577" t="s">
        <v>374</v>
      </c>
      <c r="C307" s="377"/>
      <c r="D307" s="381"/>
      <c r="E307" s="377"/>
      <c r="F307" s="381"/>
      <c r="G307" s="377"/>
      <c r="H307" s="381"/>
      <c r="I307" s="230">
        <v>41545</v>
      </c>
      <c r="J307" s="231">
        <v>11.5</v>
      </c>
      <c r="K307" s="377"/>
      <c r="L307" s="381"/>
      <c r="M307" s="230">
        <v>54526</v>
      </c>
      <c r="N307" s="231">
        <v>15.1</v>
      </c>
      <c r="O307" s="230">
        <v>152221</v>
      </c>
      <c r="P307" s="231">
        <v>42.3</v>
      </c>
      <c r="Q307" s="377"/>
      <c r="R307" s="381"/>
      <c r="S307" s="230">
        <v>52378</v>
      </c>
      <c r="T307" s="231">
        <v>21.8</v>
      </c>
      <c r="U307" s="377"/>
      <c r="V307" s="381"/>
      <c r="W307" s="230">
        <v>93378</v>
      </c>
      <c r="X307" s="231">
        <v>25.9</v>
      </c>
      <c r="Y307" s="230">
        <v>28582</v>
      </c>
      <c r="Z307" s="231">
        <v>11.9</v>
      </c>
      <c r="AA307" s="572"/>
    </row>
    <row r="308" spans="1:27" s="45" customFormat="1" x14ac:dyDescent="0.2">
      <c r="A308" s="699"/>
      <c r="B308" s="577" t="s">
        <v>375</v>
      </c>
      <c r="C308" s="377"/>
      <c r="D308" s="381"/>
      <c r="E308" s="377"/>
      <c r="F308" s="381"/>
      <c r="G308" s="377"/>
      <c r="H308" s="381"/>
      <c r="I308" s="230">
        <v>18040</v>
      </c>
      <c r="J308" s="231">
        <v>5</v>
      </c>
      <c r="K308" s="377"/>
      <c r="L308" s="381"/>
      <c r="M308" s="230">
        <v>18040</v>
      </c>
      <c r="N308" s="231">
        <v>5</v>
      </c>
      <c r="O308" s="230">
        <v>107170</v>
      </c>
      <c r="P308" s="231">
        <v>29.8</v>
      </c>
      <c r="Q308" s="377"/>
      <c r="R308" s="381"/>
      <c r="S308" s="230">
        <v>71482</v>
      </c>
      <c r="T308" s="231">
        <v>29.8</v>
      </c>
      <c r="U308" s="377"/>
      <c r="V308" s="381"/>
      <c r="W308" s="230">
        <v>36408</v>
      </c>
      <c r="X308" s="231">
        <v>10.1</v>
      </c>
      <c r="Y308" s="230">
        <v>24054</v>
      </c>
      <c r="Z308" s="231">
        <v>10</v>
      </c>
      <c r="AA308" s="572"/>
    </row>
    <row r="309" spans="1:27" s="45" customFormat="1" x14ac:dyDescent="0.2">
      <c r="A309" s="699"/>
      <c r="B309" s="577" t="s">
        <v>376</v>
      </c>
      <c r="C309" s="377"/>
      <c r="D309" s="381"/>
      <c r="E309" s="377"/>
      <c r="F309" s="381"/>
      <c r="G309" s="377"/>
      <c r="H309" s="381"/>
      <c r="I309" s="230">
        <v>93974</v>
      </c>
      <c r="J309" s="231">
        <v>26.1</v>
      </c>
      <c r="K309" s="377"/>
      <c r="L309" s="381"/>
      <c r="M309" s="230">
        <v>122166</v>
      </c>
      <c r="N309" s="231">
        <v>33.9</v>
      </c>
      <c r="O309" s="230">
        <v>292652</v>
      </c>
      <c r="P309" s="231">
        <v>81.3</v>
      </c>
      <c r="Q309" s="377"/>
      <c r="R309" s="381"/>
      <c r="S309" s="230">
        <v>116800</v>
      </c>
      <c r="T309" s="231">
        <v>48.7</v>
      </c>
      <c r="U309" s="377"/>
      <c r="V309" s="381"/>
      <c r="W309" s="230">
        <v>224688</v>
      </c>
      <c r="X309" s="231">
        <v>62.4</v>
      </c>
      <c r="Y309" s="230">
        <v>68904</v>
      </c>
      <c r="Z309" s="231">
        <v>28.7</v>
      </c>
      <c r="AA309" s="572"/>
    </row>
    <row r="310" spans="1:27" s="45" customFormat="1" x14ac:dyDescent="0.2">
      <c r="A310" s="699"/>
      <c r="B310" s="577" t="s">
        <v>377</v>
      </c>
      <c r="C310" s="377"/>
      <c r="D310" s="381"/>
      <c r="E310" s="377"/>
      <c r="F310" s="381"/>
      <c r="G310" s="377"/>
      <c r="H310" s="381"/>
      <c r="I310" s="230">
        <v>10792</v>
      </c>
      <c r="J310" s="231">
        <v>3</v>
      </c>
      <c r="K310" s="377"/>
      <c r="L310" s="381"/>
      <c r="M310" s="230">
        <v>11877</v>
      </c>
      <c r="N310" s="231">
        <v>3.3</v>
      </c>
      <c r="O310" s="230">
        <v>12541</v>
      </c>
      <c r="P310" s="231">
        <v>3.5</v>
      </c>
      <c r="Q310" s="377"/>
      <c r="R310" s="381"/>
      <c r="S310" s="230">
        <v>6290</v>
      </c>
      <c r="T310" s="231">
        <v>2.6</v>
      </c>
      <c r="U310" s="377"/>
      <c r="V310" s="381"/>
      <c r="W310" s="230">
        <v>16184</v>
      </c>
      <c r="X310" s="231">
        <v>4.5</v>
      </c>
      <c r="Y310" s="230">
        <v>8276</v>
      </c>
      <c r="Z310" s="231">
        <v>3.4</v>
      </c>
      <c r="AA310" s="572"/>
    </row>
    <row r="311" spans="1:27" s="45" customFormat="1" x14ac:dyDescent="0.2">
      <c r="A311" s="699"/>
      <c r="B311" s="577" t="s">
        <v>378</v>
      </c>
      <c r="C311" s="377"/>
      <c r="D311" s="381"/>
      <c r="E311" s="377"/>
      <c r="F311" s="381"/>
      <c r="G311" s="377"/>
      <c r="H311" s="381"/>
      <c r="I311" s="230">
        <v>112752</v>
      </c>
      <c r="J311" s="231">
        <v>31.3</v>
      </c>
      <c r="K311" s="377"/>
      <c r="L311" s="381"/>
      <c r="M311" s="230">
        <v>112752</v>
      </c>
      <c r="N311" s="231">
        <v>31.3</v>
      </c>
      <c r="O311" s="230">
        <v>210172</v>
      </c>
      <c r="P311" s="231">
        <v>58.4</v>
      </c>
      <c r="Q311" s="377"/>
      <c r="R311" s="381"/>
      <c r="S311" s="230">
        <v>140160</v>
      </c>
      <c r="T311" s="231">
        <v>58.4</v>
      </c>
      <c r="U311" s="377"/>
      <c r="V311" s="381"/>
      <c r="W311" s="230">
        <v>252746</v>
      </c>
      <c r="X311" s="231">
        <v>70.2</v>
      </c>
      <c r="Y311" s="230">
        <v>68904</v>
      </c>
      <c r="Z311" s="231">
        <v>28.7</v>
      </c>
      <c r="AA311" s="572"/>
    </row>
    <row r="312" spans="1:27" s="45" customFormat="1" x14ac:dyDescent="0.2">
      <c r="A312" s="699"/>
      <c r="B312" s="577" t="s">
        <v>379</v>
      </c>
      <c r="C312" s="377"/>
      <c r="D312" s="381"/>
      <c r="E312" s="377"/>
      <c r="F312" s="381"/>
      <c r="G312" s="377"/>
      <c r="H312" s="381"/>
      <c r="I312" s="230">
        <v>124050</v>
      </c>
      <c r="J312" s="231">
        <v>34.5</v>
      </c>
      <c r="K312" s="377"/>
      <c r="L312" s="381"/>
      <c r="M312" s="230">
        <v>124050</v>
      </c>
      <c r="N312" s="231">
        <v>34.5</v>
      </c>
      <c r="O312" s="230">
        <v>168192</v>
      </c>
      <c r="P312" s="231">
        <v>46.7</v>
      </c>
      <c r="Q312" s="377"/>
      <c r="R312" s="381"/>
      <c r="S312" s="230">
        <v>14016</v>
      </c>
      <c r="T312" s="231">
        <v>5.8</v>
      </c>
      <c r="U312" s="377"/>
      <c r="V312" s="381"/>
      <c r="W312" s="230">
        <v>13478</v>
      </c>
      <c r="X312" s="231">
        <v>3.7</v>
      </c>
      <c r="Y312" s="230">
        <v>6890</v>
      </c>
      <c r="Z312" s="231">
        <v>2.9</v>
      </c>
      <c r="AA312" s="572"/>
    </row>
    <row r="313" spans="1:27" s="45" customFormat="1" x14ac:dyDescent="0.2">
      <c r="A313" s="699"/>
      <c r="B313" s="577" t="s">
        <v>380</v>
      </c>
      <c r="C313" s="377"/>
      <c r="D313" s="381"/>
      <c r="E313" s="377"/>
      <c r="F313" s="381"/>
      <c r="G313" s="377"/>
      <c r="H313" s="381"/>
      <c r="I313" s="230">
        <v>21013</v>
      </c>
      <c r="J313" s="231">
        <v>5.8</v>
      </c>
      <c r="K313" s="377"/>
      <c r="L313" s="381"/>
      <c r="M313" s="230">
        <v>14491</v>
      </c>
      <c r="N313" s="231">
        <v>4</v>
      </c>
      <c r="O313" s="230">
        <v>779</v>
      </c>
      <c r="P313" s="231">
        <v>0.2</v>
      </c>
      <c r="Q313" s="377"/>
      <c r="R313" s="381"/>
      <c r="S313" s="230">
        <v>922</v>
      </c>
      <c r="T313" s="231">
        <v>0.4</v>
      </c>
      <c r="U313" s="377"/>
      <c r="V313" s="381"/>
      <c r="W313" s="230">
        <v>16641</v>
      </c>
      <c r="X313" s="231">
        <v>4.5999999999999996</v>
      </c>
      <c r="Y313" s="230">
        <v>2336</v>
      </c>
      <c r="Z313" s="231">
        <v>1</v>
      </c>
      <c r="AA313" s="572"/>
    </row>
    <row r="314" spans="1:27" s="45" customFormat="1" x14ac:dyDescent="0.2">
      <c r="A314" s="699"/>
      <c r="B314" s="577" t="s">
        <v>381</v>
      </c>
      <c r="C314" s="377"/>
      <c r="D314" s="381"/>
      <c r="E314" s="377"/>
      <c r="F314" s="381"/>
      <c r="G314" s="377"/>
      <c r="H314" s="381"/>
      <c r="I314" s="230">
        <v>20002</v>
      </c>
      <c r="J314" s="231">
        <v>5.6</v>
      </c>
      <c r="K314" s="377"/>
      <c r="L314" s="381"/>
      <c r="M314" s="230">
        <v>25714</v>
      </c>
      <c r="N314" s="231">
        <v>7.1</v>
      </c>
      <c r="O314" s="230">
        <v>50742</v>
      </c>
      <c r="P314" s="231">
        <v>14.1</v>
      </c>
      <c r="Q314" s="377"/>
      <c r="R314" s="381"/>
      <c r="S314" s="230">
        <v>22479</v>
      </c>
      <c r="T314" s="231">
        <v>9.4</v>
      </c>
      <c r="U314" s="377"/>
      <c r="V314" s="381"/>
      <c r="W314" s="230">
        <v>52439</v>
      </c>
      <c r="X314" s="231">
        <v>14.6</v>
      </c>
      <c r="Y314" s="230">
        <v>17390</v>
      </c>
      <c r="Z314" s="231">
        <v>7.2</v>
      </c>
      <c r="AA314" s="572"/>
    </row>
    <row r="315" spans="1:27" s="37" customFormat="1" x14ac:dyDescent="0.2">
      <c r="A315" s="699"/>
      <c r="B315" s="274" t="s">
        <v>382</v>
      </c>
      <c r="C315" s="578"/>
      <c r="D315" s="579"/>
      <c r="E315" s="578"/>
      <c r="F315" s="579"/>
      <c r="G315" s="578"/>
      <c r="H315" s="579"/>
      <c r="I315" s="228">
        <v>575294</v>
      </c>
      <c r="J315" s="232">
        <v>159.80000000000001</v>
      </c>
      <c r="K315" s="580"/>
      <c r="L315" s="579"/>
      <c r="M315" s="228">
        <v>628549</v>
      </c>
      <c r="N315" s="232">
        <v>174.6</v>
      </c>
      <c r="O315" s="228">
        <v>1209405</v>
      </c>
      <c r="P315" s="232">
        <v>335.9</v>
      </c>
      <c r="Q315" s="578"/>
      <c r="R315" s="579"/>
      <c r="S315" s="228">
        <v>610592</v>
      </c>
      <c r="T315" s="232">
        <v>254.4</v>
      </c>
      <c r="U315" s="578"/>
      <c r="V315" s="579"/>
      <c r="W315" s="228">
        <v>879819</v>
      </c>
      <c r="X315" s="232">
        <v>244.4</v>
      </c>
      <c r="Y315" s="228">
        <v>429228</v>
      </c>
      <c r="Z315" s="232">
        <v>178.8</v>
      </c>
      <c r="AA315" s="575"/>
    </row>
    <row r="316" spans="1:27" s="574" customFormat="1" x14ac:dyDescent="0.2">
      <c r="A316" s="699"/>
      <c r="B316" s="288" t="s">
        <v>490</v>
      </c>
      <c r="C316" s="353" t="s">
        <v>372</v>
      </c>
      <c r="D316" s="374" t="s">
        <v>397</v>
      </c>
      <c r="E316" s="353" t="s">
        <v>372</v>
      </c>
      <c r="F316" s="374" t="s">
        <v>397</v>
      </c>
      <c r="G316" s="353" t="s">
        <v>372</v>
      </c>
      <c r="H316" s="374" t="s">
        <v>397</v>
      </c>
      <c r="I316" s="289" t="s">
        <v>372</v>
      </c>
      <c r="J316" s="291" t="s">
        <v>397</v>
      </c>
      <c r="K316" s="380" t="s">
        <v>372</v>
      </c>
      <c r="L316" s="374" t="s">
        <v>397</v>
      </c>
      <c r="M316" s="289" t="s">
        <v>372</v>
      </c>
      <c r="N316" s="291" t="s">
        <v>397</v>
      </c>
      <c r="O316" s="289" t="s">
        <v>372</v>
      </c>
      <c r="P316" s="291" t="s">
        <v>397</v>
      </c>
      <c r="Q316" s="353" t="s">
        <v>372</v>
      </c>
      <c r="R316" s="374" t="s">
        <v>397</v>
      </c>
      <c r="S316" s="289" t="s">
        <v>372</v>
      </c>
      <c r="T316" s="291" t="s">
        <v>397</v>
      </c>
      <c r="U316" s="353" t="s">
        <v>372</v>
      </c>
      <c r="V316" s="374" t="s">
        <v>397</v>
      </c>
      <c r="W316" s="289" t="s">
        <v>372</v>
      </c>
      <c r="X316" s="291" t="s">
        <v>397</v>
      </c>
      <c r="Y316" s="289" t="s">
        <v>372</v>
      </c>
      <c r="Z316" s="291" t="s">
        <v>397</v>
      </c>
    </row>
    <row r="317" spans="1:27" s="45" customFormat="1" x14ac:dyDescent="0.2">
      <c r="A317" s="699"/>
      <c r="B317" s="577" t="s">
        <v>373</v>
      </c>
      <c r="C317" s="355"/>
      <c r="D317" s="375"/>
      <c r="E317" s="355"/>
      <c r="F317" s="376"/>
      <c r="G317" s="384"/>
      <c r="H317" s="375"/>
      <c r="I317" s="230">
        <v>134871</v>
      </c>
      <c r="J317" s="273">
        <v>37.5</v>
      </c>
      <c r="K317" s="384"/>
      <c r="L317" s="375"/>
      <c r="M317" s="230">
        <v>146711</v>
      </c>
      <c r="N317" s="273">
        <v>40.799999999999997</v>
      </c>
      <c r="O317" s="230">
        <v>220053</v>
      </c>
      <c r="P317" s="273">
        <v>61.1</v>
      </c>
      <c r="Q317" s="355"/>
      <c r="R317" s="375"/>
      <c r="S317" s="230">
        <v>189431</v>
      </c>
      <c r="T317" s="273">
        <v>78.900000000000006</v>
      </c>
      <c r="U317" s="355"/>
      <c r="V317" s="375"/>
      <c r="W317" s="230">
        <v>179196</v>
      </c>
      <c r="X317" s="273">
        <v>49.8</v>
      </c>
      <c r="Y317" s="230">
        <v>210960</v>
      </c>
      <c r="Z317" s="273">
        <v>87.9</v>
      </c>
    </row>
    <row r="318" spans="1:27" s="45" customFormat="1" x14ac:dyDescent="0.2">
      <c r="A318" s="699"/>
      <c r="B318" s="577" t="s">
        <v>374</v>
      </c>
      <c r="C318" s="355"/>
      <c r="D318" s="375"/>
      <c r="E318" s="355"/>
      <c r="F318" s="376"/>
      <c r="G318" s="384"/>
      <c r="H318" s="375"/>
      <c r="I318" s="230">
        <v>41590</v>
      </c>
      <c r="J318" s="273">
        <v>11.6</v>
      </c>
      <c r="K318" s="384"/>
      <c r="L318" s="375"/>
      <c r="M318" s="230">
        <v>54623</v>
      </c>
      <c r="N318" s="273">
        <v>15.2</v>
      </c>
      <c r="O318" s="230">
        <v>152525</v>
      </c>
      <c r="P318" s="273">
        <v>42.4</v>
      </c>
      <c r="Q318" s="355"/>
      <c r="R318" s="375"/>
      <c r="S318" s="230">
        <v>52404</v>
      </c>
      <c r="T318" s="273">
        <v>21.8</v>
      </c>
      <c r="U318" s="355"/>
      <c r="V318" s="375"/>
      <c r="W318" s="230">
        <v>93721</v>
      </c>
      <c r="X318" s="273">
        <v>26</v>
      </c>
      <c r="Y318" s="230">
        <v>28597</v>
      </c>
      <c r="Z318" s="273">
        <v>11.9</v>
      </c>
    </row>
    <row r="319" spans="1:27" s="45" customFormat="1" x14ac:dyDescent="0.2">
      <c r="A319" s="699"/>
      <c r="B319" s="577" t="s">
        <v>375</v>
      </c>
      <c r="C319" s="355"/>
      <c r="D319" s="375"/>
      <c r="E319" s="355"/>
      <c r="F319" s="376"/>
      <c r="G319" s="384"/>
      <c r="H319" s="375"/>
      <c r="I319" s="230">
        <v>18040</v>
      </c>
      <c r="J319" s="273">
        <v>5</v>
      </c>
      <c r="K319" s="384"/>
      <c r="L319" s="375"/>
      <c r="M319" s="230">
        <v>18040</v>
      </c>
      <c r="N319" s="273">
        <v>5</v>
      </c>
      <c r="O319" s="230">
        <v>107170</v>
      </c>
      <c r="P319" s="273">
        <v>29.8</v>
      </c>
      <c r="Q319" s="355"/>
      <c r="R319" s="375"/>
      <c r="S319" s="230">
        <v>71482</v>
      </c>
      <c r="T319" s="273">
        <v>29.8</v>
      </c>
      <c r="U319" s="355"/>
      <c r="V319" s="375"/>
      <c r="W319" s="230">
        <v>36408</v>
      </c>
      <c r="X319" s="273">
        <v>10.1</v>
      </c>
      <c r="Y319" s="230">
        <v>24054</v>
      </c>
      <c r="Z319" s="273">
        <v>10</v>
      </c>
    </row>
    <row r="320" spans="1:27" s="45" customFormat="1" x14ac:dyDescent="0.2">
      <c r="A320" s="699"/>
      <c r="B320" s="577" t="s">
        <v>376</v>
      </c>
      <c r="C320" s="355"/>
      <c r="D320" s="375"/>
      <c r="E320" s="355"/>
      <c r="F320" s="376"/>
      <c r="G320" s="384"/>
      <c r="H320" s="375"/>
      <c r="I320" s="230">
        <v>93974</v>
      </c>
      <c r="J320" s="273">
        <v>26.1</v>
      </c>
      <c r="K320" s="384"/>
      <c r="L320" s="375"/>
      <c r="M320" s="230">
        <v>122166</v>
      </c>
      <c r="N320" s="273">
        <v>33.9</v>
      </c>
      <c r="O320" s="230">
        <v>292652</v>
      </c>
      <c r="P320" s="273">
        <v>81.3</v>
      </c>
      <c r="Q320" s="355"/>
      <c r="R320" s="375"/>
      <c r="S320" s="230">
        <v>116800</v>
      </c>
      <c r="T320" s="273">
        <v>48.7</v>
      </c>
      <c r="U320" s="355"/>
      <c r="V320" s="375"/>
      <c r="W320" s="230">
        <v>224688</v>
      </c>
      <c r="X320" s="273">
        <v>62.4</v>
      </c>
      <c r="Y320" s="230">
        <v>68904</v>
      </c>
      <c r="Z320" s="273">
        <v>28.7</v>
      </c>
    </row>
    <row r="321" spans="1:27" s="45" customFormat="1" x14ac:dyDescent="0.2">
      <c r="A321" s="699"/>
      <c r="B321" s="577" t="s">
        <v>377</v>
      </c>
      <c r="C321" s="355"/>
      <c r="D321" s="375"/>
      <c r="E321" s="355"/>
      <c r="F321" s="376"/>
      <c r="G321" s="384"/>
      <c r="H321" s="375"/>
      <c r="I321" s="230">
        <v>10335</v>
      </c>
      <c r="J321" s="273">
        <v>2.9</v>
      </c>
      <c r="K321" s="384"/>
      <c r="L321" s="375"/>
      <c r="M321" s="230">
        <v>11633</v>
      </c>
      <c r="N321" s="273">
        <v>3.2</v>
      </c>
      <c r="O321" s="230">
        <v>12393</v>
      </c>
      <c r="P321" s="273">
        <v>3.4</v>
      </c>
      <c r="Q321" s="355"/>
      <c r="R321" s="375"/>
      <c r="S321" s="230">
        <v>6255</v>
      </c>
      <c r="T321" s="273">
        <v>2.6</v>
      </c>
      <c r="U321" s="355"/>
      <c r="V321" s="375"/>
      <c r="W321" s="230">
        <v>16194</v>
      </c>
      <c r="X321" s="273">
        <v>4.5</v>
      </c>
      <c r="Y321" s="230">
        <v>7328</v>
      </c>
      <c r="Z321" s="273">
        <v>3.1</v>
      </c>
    </row>
    <row r="322" spans="1:27" s="45" customFormat="1" x14ac:dyDescent="0.2">
      <c r="A322" s="699"/>
      <c r="B322" s="577" t="s">
        <v>378</v>
      </c>
      <c r="C322" s="355"/>
      <c r="D322" s="375"/>
      <c r="E322" s="355"/>
      <c r="F322" s="376"/>
      <c r="G322" s="384"/>
      <c r="H322" s="375"/>
      <c r="I322" s="230">
        <v>112752</v>
      </c>
      <c r="J322" s="273">
        <v>31.3</v>
      </c>
      <c r="K322" s="384"/>
      <c r="L322" s="375"/>
      <c r="M322" s="230">
        <v>112752</v>
      </c>
      <c r="N322" s="273">
        <v>31.3</v>
      </c>
      <c r="O322" s="230">
        <v>210172</v>
      </c>
      <c r="P322" s="273">
        <v>58.4</v>
      </c>
      <c r="Q322" s="355"/>
      <c r="R322" s="375"/>
      <c r="S322" s="230">
        <v>140160</v>
      </c>
      <c r="T322" s="273">
        <v>58.4</v>
      </c>
      <c r="U322" s="355"/>
      <c r="V322" s="375"/>
      <c r="W322" s="230">
        <v>252746</v>
      </c>
      <c r="X322" s="273">
        <v>70.2</v>
      </c>
      <c r="Y322" s="230">
        <v>68904</v>
      </c>
      <c r="Z322" s="273">
        <v>28.7</v>
      </c>
    </row>
    <row r="323" spans="1:27" s="45" customFormat="1" x14ac:dyDescent="0.2">
      <c r="A323" s="699"/>
      <c r="B323" s="577" t="s">
        <v>379</v>
      </c>
      <c r="C323" s="355"/>
      <c r="D323" s="375"/>
      <c r="E323" s="355"/>
      <c r="F323" s="376"/>
      <c r="G323" s="384"/>
      <c r="H323" s="375"/>
      <c r="I323" s="230">
        <v>124050</v>
      </c>
      <c r="J323" s="273">
        <v>34.5</v>
      </c>
      <c r="K323" s="384"/>
      <c r="L323" s="375"/>
      <c r="M323" s="230">
        <v>124050</v>
      </c>
      <c r="N323" s="273">
        <v>34.5</v>
      </c>
      <c r="O323" s="230">
        <v>168192</v>
      </c>
      <c r="P323" s="273">
        <v>46.7</v>
      </c>
      <c r="Q323" s="355"/>
      <c r="R323" s="375"/>
      <c r="S323" s="230">
        <v>14016</v>
      </c>
      <c r="T323" s="273">
        <v>5.8</v>
      </c>
      <c r="U323" s="355"/>
      <c r="V323" s="375"/>
      <c r="W323" s="230">
        <v>13478</v>
      </c>
      <c r="X323" s="273">
        <v>3.7</v>
      </c>
      <c r="Y323" s="230">
        <v>6890</v>
      </c>
      <c r="Z323" s="273">
        <v>2.9</v>
      </c>
    </row>
    <row r="324" spans="1:27" s="45" customFormat="1" x14ac:dyDescent="0.2">
      <c r="A324" s="699"/>
      <c r="B324" s="577" t="s">
        <v>380</v>
      </c>
      <c r="C324" s="355"/>
      <c r="D324" s="375"/>
      <c r="E324" s="377"/>
      <c r="F324" s="376"/>
      <c r="G324" s="384"/>
      <c r="H324" s="375"/>
      <c r="I324" s="230">
        <v>10726</v>
      </c>
      <c r="J324" s="273">
        <v>3</v>
      </c>
      <c r="K324" s="384"/>
      <c r="L324" s="375"/>
      <c r="M324" s="230">
        <v>9098</v>
      </c>
      <c r="N324" s="273">
        <v>2.5</v>
      </c>
      <c r="O324" s="230">
        <v>670</v>
      </c>
      <c r="P324" s="273">
        <v>0.2</v>
      </c>
      <c r="Q324" s="355"/>
      <c r="R324" s="375"/>
      <c r="S324" s="230">
        <v>654</v>
      </c>
      <c r="T324" s="273">
        <v>0.3</v>
      </c>
      <c r="U324" s="355"/>
      <c r="V324" s="375"/>
      <c r="W324" s="230">
        <v>12173</v>
      </c>
      <c r="X324" s="273">
        <v>3.4</v>
      </c>
      <c r="Y324" s="230">
        <v>821</v>
      </c>
      <c r="Z324" s="273">
        <v>0.3</v>
      </c>
    </row>
    <row r="325" spans="1:27" s="45" customFormat="1" x14ac:dyDescent="0.2">
      <c r="A325" s="699"/>
      <c r="B325" s="577" t="s">
        <v>381</v>
      </c>
      <c r="C325" s="355"/>
      <c r="D325" s="375"/>
      <c r="E325" s="377"/>
      <c r="F325" s="376"/>
      <c r="G325" s="384"/>
      <c r="H325" s="375"/>
      <c r="I325" s="230">
        <v>20002</v>
      </c>
      <c r="J325" s="273">
        <v>5.6</v>
      </c>
      <c r="K325" s="384"/>
      <c r="L325" s="375"/>
      <c r="M325" s="230">
        <v>25714</v>
      </c>
      <c r="N325" s="273">
        <v>7.1</v>
      </c>
      <c r="O325" s="230">
        <v>50742</v>
      </c>
      <c r="P325" s="273">
        <v>14.1</v>
      </c>
      <c r="Q325" s="355"/>
      <c r="R325" s="375"/>
      <c r="S325" s="230">
        <v>22479</v>
      </c>
      <c r="T325" s="273">
        <v>9.4</v>
      </c>
      <c r="U325" s="355"/>
      <c r="V325" s="375"/>
      <c r="W325" s="230">
        <v>52439</v>
      </c>
      <c r="X325" s="273">
        <v>14.6</v>
      </c>
      <c r="Y325" s="230">
        <v>17390</v>
      </c>
      <c r="Z325" s="273">
        <v>7.2</v>
      </c>
    </row>
    <row r="326" spans="1:27" s="37" customFormat="1" x14ac:dyDescent="0.2">
      <c r="A326" s="699"/>
      <c r="B326" s="274" t="s">
        <v>382</v>
      </c>
      <c r="C326" s="357"/>
      <c r="D326" s="378"/>
      <c r="E326" s="357"/>
      <c r="F326" s="379"/>
      <c r="G326" s="385"/>
      <c r="H326" s="378"/>
      <c r="I326" s="275">
        <v>566340</v>
      </c>
      <c r="J326" s="279">
        <v>157.30000000000001</v>
      </c>
      <c r="K326" s="385"/>
      <c r="L326" s="378"/>
      <c r="M326" s="275">
        <v>624788</v>
      </c>
      <c r="N326" s="279">
        <v>173.6</v>
      </c>
      <c r="O326" s="275">
        <v>1214569</v>
      </c>
      <c r="P326" s="279">
        <v>337.4</v>
      </c>
      <c r="Q326" s="357"/>
      <c r="R326" s="378"/>
      <c r="S326" s="275">
        <v>613681</v>
      </c>
      <c r="T326" s="279">
        <v>255.7</v>
      </c>
      <c r="U326" s="357"/>
      <c r="V326" s="378"/>
      <c r="W326" s="275">
        <v>881044</v>
      </c>
      <c r="X326" s="279">
        <v>244.7</v>
      </c>
      <c r="Y326" s="275">
        <v>433848</v>
      </c>
      <c r="Z326" s="279">
        <v>180.8</v>
      </c>
    </row>
    <row r="327" spans="1:27" s="574" customFormat="1" x14ac:dyDescent="0.2">
      <c r="A327" s="699"/>
      <c r="B327" s="283" t="s">
        <v>491</v>
      </c>
      <c r="C327" s="353" t="s">
        <v>372</v>
      </c>
      <c r="D327" s="354" t="s">
        <v>397</v>
      </c>
      <c r="E327" s="353" t="s">
        <v>372</v>
      </c>
      <c r="F327" s="354" t="s">
        <v>397</v>
      </c>
      <c r="G327" s="353" t="s">
        <v>372</v>
      </c>
      <c r="H327" s="354" t="s">
        <v>397</v>
      </c>
      <c r="I327" s="289" t="s">
        <v>372</v>
      </c>
      <c r="J327" s="291" t="s">
        <v>397</v>
      </c>
      <c r="K327" s="353" t="s">
        <v>372</v>
      </c>
      <c r="L327" s="354" t="s">
        <v>397</v>
      </c>
      <c r="M327" s="289" t="s">
        <v>372</v>
      </c>
      <c r="N327" s="291" t="s">
        <v>397</v>
      </c>
      <c r="O327" s="289" t="s">
        <v>372</v>
      </c>
      <c r="P327" s="291" t="s">
        <v>397</v>
      </c>
      <c r="Q327" s="353" t="s">
        <v>372</v>
      </c>
      <c r="R327" s="354" t="s">
        <v>397</v>
      </c>
      <c r="S327" s="289" t="s">
        <v>372</v>
      </c>
      <c r="T327" s="291" t="s">
        <v>397</v>
      </c>
      <c r="U327" s="353" t="s">
        <v>372</v>
      </c>
      <c r="V327" s="354" t="s">
        <v>397</v>
      </c>
      <c r="W327" s="289" t="s">
        <v>372</v>
      </c>
      <c r="X327" s="291" t="s">
        <v>397</v>
      </c>
      <c r="Y327" s="289" t="s">
        <v>372</v>
      </c>
      <c r="Z327" s="291" t="s">
        <v>397</v>
      </c>
    </row>
    <row r="328" spans="1:27" s="45" customFormat="1" x14ac:dyDescent="0.2">
      <c r="A328" s="699"/>
      <c r="B328" s="577" t="s">
        <v>373</v>
      </c>
      <c r="C328" s="355"/>
      <c r="D328" s="356"/>
      <c r="E328" s="355"/>
      <c r="F328" s="356"/>
      <c r="G328" s="355"/>
      <c r="H328" s="356"/>
      <c r="I328" s="230">
        <f>I306-I317</f>
        <v>-1745</v>
      </c>
      <c r="J328" s="285">
        <f>J306-J317</f>
        <v>-0.5</v>
      </c>
      <c r="K328" s="355"/>
      <c r="L328" s="356"/>
      <c r="M328" s="230">
        <f>M306-M317</f>
        <v>-1779</v>
      </c>
      <c r="N328" s="285">
        <f>N306-N317</f>
        <v>-0.5</v>
      </c>
      <c r="O328" s="230">
        <f>O306-O317</f>
        <v>-5117</v>
      </c>
      <c r="P328" s="285">
        <f>P306-P317</f>
        <v>-1.3999999999999986</v>
      </c>
      <c r="Q328" s="355"/>
      <c r="R328" s="356"/>
      <c r="S328" s="230">
        <f>S306-S317</f>
        <v>-3365</v>
      </c>
      <c r="T328" s="285">
        <f>T306-T317</f>
        <v>-1.4000000000000057</v>
      </c>
      <c r="U328" s="355"/>
      <c r="V328" s="356"/>
      <c r="W328" s="230">
        <f>W306-W317</f>
        <v>-5340</v>
      </c>
      <c r="X328" s="285">
        <f>X306-X317</f>
        <v>-1.5</v>
      </c>
      <c r="Y328" s="230">
        <f>Y306-Y317</f>
        <v>-7068</v>
      </c>
      <c r="Z328" s="293">
        <f>Z306-Z317</f>
        <v>-2.9000000000000057</v>
      </c>
      <c r="AA328" s="576"/>
    </row>
    <row r="329" spans="1:27" s="45" customFormat="1" x14ac:dyDescent="0.2">
      <c r="A329" s="699"/>
      <c r="B329" s="577" t="s">
        <v>374</v>
      </c>
      <c r="C329" s="355"/>
      <c r="D329" s="356"/>
      <c r="E329" s="355"/>
      <c r="F329" s="356"/>
      <c r="G329" s="355"/>
      <c r="H329" s="356"/>
      <c r="I329" s="230">
        <f t="shared" ref="I329:J332" si="103">I307-I318</f>
        <v>-45</v>
      </c>
      <c r="J329" s="285">
        <f t="shared" si="103"/>
        <v>-9.9999999999999645E-2</v>
      </c>
      <c r="K329" s="355"/>
      <c r="L329" s="356"/>
      <c r="M329" s="230">
        <f t="shared" ref="M329:P329" si="104">M307-M318</f>
        <v>-97</v>
      </c>
      <c r="N329" s="285">
        <f t="shared" si="104"/>
        <v>-9.9999999999999645E-2</v>
      </c>
      <c r="O329" s="230">
        <f t="shared" si="104"/>
        <v>-304</v>
      </c>
      <c r="P329" s="285">
        <f t="shared" si="104"/>
        <v>-0.10000000000000142</v>
      </c>
      <c r="Q329" s="355"/>
      <c r="R329" s="356"/>
      <c r="S329" s="230">
        <f t="shared" ref="S329:T329" si="105">S307-S318</f>
        <v>-26</v>
      </c>
      <c r="T329" s="285">
        <f t="shared" si="105"/>
        <v>0</v>
      </c>
      <c r="U329" s="355"/>
      <c r="V329" s="356"/>
      <c r="W329" s="230">
        <f t="shared" ref="W329:Z329" si="106">W307-W318</f>
        <v>-343</v>
      </c>
      <c r="X329" s="285">
        <f t="shared" si="106"/>
        <v>-0.10000000000000142</v>
      </c>
      <c r="Y329" s="230">
        <f t="shared" si="106"/>
        <v>-15</v>
      </c>
      <c r="Z329" s="293">
        <f t="shared" si="106"/>
        <v>0</v>
      </c>
      <c r="AA329" s="576"/>
    </row>
    <row r="330" spans="1:27" s="45" customFormat="1" x14ac:dyDescent="0.2">
      <c r="A330" s="699"/>
      <c r="B330" s="577" t="s">
        <v>375</v>
      </c>
      <c r="C330" s="355"/>
      <c r="D330" s="356"/>
      <c r="E330" s="355"/>
      <c r="F330" s="356"/>
      <c r="G330" s="355"/>
      <c r="H330" s="356"/>
      <c r="I330" s="230">
        <f t="shared" si="103"/>
        <v>0</v>
      </c>
      <c r="J330" s="285">
        <f t="shared" si="103"/>
        <v>0</v>
      </c>
      <c r="K330" s="355"/>
      <c r="L330" s="356"/>
      <c r="M330" s="230">
        <f t="shared" ref="M330:P330" si="107">M308-M319</f>
        <v>0</v>
      </c>
      <c r="N330" s="285">
        <f t="shared" si="107"/>
        <v>0</v>
      </c>
      <c r="O330" s="230">
        <f t="shared" si="107"/>
        <v>0</v>
      </c>
      <c r="P330" s="285">
        <f t="shared" si="107"/>
        <v>0</v>
      </c>
      <c r="Q330" s="355"/>
      <c r="R330" s="356"/>
      <c r="S330" s="230">
        <f t="shared" ref="S330:T330" si="108">S308-S319</f>
        <v>0</v>
      </c>
      <c r="T330" s="285">
        <f t="shared" si="108"/>
        <v>0</v>
      </c>
      <c r="U330" s="355"/>
      <c r="V330" s="356"/>
      <c r="W330" s="230">
        <f t="shared" ref="W330:Z330" si="109">W308-W319</f>
        <v>0</v>
      </c>
      <c r="X330" s="285">
        <f t="shared" si="109"/>
        <v>0</v>
      </c>
      <c r="Y330" s="230">
        <f t="shared" si="109"/>
        <v>0</v>
      </c>
      <c r="Z330" s="293">
        <f t="shared" si="109"/>
        <v>0</v>
      </c>
      <c r="AA330" s="576"/>
    </row>
    <row r="331" spans="1:27" s="45" customFormat="1" x14ac:dyDescent="0.2">
      <c r="A331" s="699"/>
      <c r="B331" s="577" t="s">
        <v>376</v>
      </c>
      <c r="C331" s="355"/>
      <c r="D331" s="356"/>
      <c r="E331" s="355"/>
      <c r="F331" s="356"/>
      <c r="G331" s="355"/>
      <c r="H331" s="356"/>
      <c r="I331" s="230">
        <f t="shared" si="103"/>
        <v>0</v>
      </c>
      <c r="J331" s="285">
        <f t="shared" si="103"/>
        <v>0</v>
      </c>
      <c r="K331" s="355"/>
      <c r="L331" s="356"/>
      <c r="M331" s="230">
        <f t="shared" ref="M331:P331" si="110">M309-M320</f>
        <v>0</v>
      </c>
      <c r="N331" s="285">
        <f t="shared" si="110"/>
        <v>0</v>
      </c>
      <c r="O331" s="230">
        <f t="shared" si="110"/>
        <v>0</v>
      </c>
      <c r="P331" s="285">
        <f t="shared" si="110"/>
        <v>0</v>
      </c>
      <c r="Q331" s="355"/>
      <c r="R331" s="356"/>
      <c r="S331" s="230">
        <f t="shared" ref="S331:T331" si="111">S309-S320</f>
        <v>0</v>
      </c>
      <c r="T331" s="285">
        <f t="shared" si="111"/>
        <v>0</v>
      </c>
      <c r="U331" s="355"/>
      <c r="V331" s="356"/>
      <c r="W331" s="230">
        <f t="shared" ref="W331:Z331" si="112">W309-W320</f>
        <v>0</v>
      </c>
      <c r="X331" s="285">
        <f t="shared" si="112"/>
        <v>0</v>
      </c>
      <c r="Y331" s="230">
        <f t="shared" si="112"/>
        <v>0</v>
      </c>
      <c r="Z331" s="293">
        <f t="shared" si="112"/>
        <v>0</v>
      </c>
      <c r="AA331" s="576"/>
    </row>
    <row r="332" spans="1:27" s="45" customFormat="1" x14ac:dyDescent="0.2">
      <c r="A332" s="699"/>
      <c r="B332" s="577" t="s">
        <v>377</v>
      </c>
      <c r="C332" s="355"/>
      <c r="D332" s="356"/>
      <c r="E332" s="355"/>
      <c r="F332" s="356"/>
      <c r="G332" s="355"/>
      <c r="H332" s="356"/>
      <c r="I332" s="230">
        <f t="shared" si="103"/>
        <v>457</v>
      </c>
      <c r="J332" s="285">
        <f t="shared" si="103"/>
        <v>0.10000000000000009</v>
      </c>
      <c r="K332" s="355"/>
      <c r="L332" s="356"/>
      <c r="M332" s="230">
        <f t="shared" ref="M332:P332" si="113">M310-M321</f>
        <v>244</v>
      </c>
      <c r="N332" s="285">
        <f t="shared" si="113"/>
        <v>9.9999999999999645E-2</v>
      </c>
      <c r="O332" s="230">
        <f t="shared" si="113"/>
        <v>148</v>
      </c>
      <c r="P332" s="285">
        <f t="shared" si="113"/>
        <v>0.10000000000000009</v>
      </c>
      <c r="Q332" s="355"/>
      <c r="R332" s="356"/>
      <c r="S332" s="230">
        <f t="shared" ref="S332:T332" si="114">S310-S321</f>
        <v>35</v>
      </c>
      <c r="T332" s="285">
        <f t="shared" si="114"/>
        <v>0</v>
      </c>
      <c r="U332" s="355"/>
      <c r="V332" s="356"/>
      <c r="W332" s="230">
        <f t="shared" ref="W332:Z332" si="115">W310-W321</f>
        <v>-10</v>
      </c>
      <c r="X332" s="285">
        <f t="shared" si="115"/>
        <v>0</v>
      </c>
      <c r="Y332" s="230">
        <f t="shared" si="115"/>
        <v>948</v>
      </c>
      <c r="Z332" s="293">
        <f t="shared" si="115"/>
        <v>0.29999999999999982</v>
      </c>
      <c r="AA332" s="576"/>
    </row>
    <row r="333" spans="1:27" x14ac:dyDescent="0.2">
      <c r="A333" s="699"/>
      <c r="B333" s="577" t="s">
        <v>378</v>
      </c>
      <c r="C333" s="355"/>
      <c r="D333" s="356"/>
      <c r="E333" s="355"/>
      <c r="F333" s="356"/>
      <c r="G333" s="355"/>
      <c r="H333" s="356"/>
      <c r="I333" s="230">
        <f t="shared" ref="I333:J333" si="116">I311-I322</f>
        <v>0</v>
      </c>
      <c r="J333" s="285">
        <f t="shared" si="116"/>
        <v>0</v>
      </c>
      <c r="K333" s="355"/>
      <c r="L333" s="356"/>
      <c r="M333" s="230">
        <f t="shared" ref="M333:P333" si="117">M311-M322</f>
        <v>0</v>
      </c>
      <c r="N333" s="285">
        <f t="shared" si="117"/>
        <v>0</v>
      </c>
      <c r="O333" s="230">
        <f t="shared" si="117"/>
        <v>0</v>
      </c>
      <c r="P333" s="285">
        <f t="shared" si="117"/>
        <v>0</v>
      </c>
      <c r="Q333" s="355"/>
      <c r="R333" s="356"/>
      <c r="S333" s="230">
        <f t="shared" ref="S333:T333" si="118">S311-S322</f>
        <v>0</v>
      </c>
      <c r="T333" s="285">
        <f t="shared" si="118"/>
        <v>0</v>
      </c>
      <c r="U333" s="355"/>
      <c r="V333" s="356"/>
      <c r="W333" s="230">
        <f t="shared" ref="W333:Z333" si="119">W311-W322</f>
        <v>0</v>
      </c>
      <c r="X333" s="285">
        <f t="shared" si="119"/>
        <v>0</v>
      </c>
      <c r="Y333" s="230">
        <f t="shared" si="119"/>
        <v>0</v>
      </c>
      <c r="Z333" s="293">
        <f t="shared" si="119"/>
        <v>0</v>
      </c>
    </row>
    <row r="334" spans="1:27" x14ac:dyDescent="0.2">
      <c r="A334" s="699"/>
      <c r="B334" s="577" t="s">
        <v>379</v>
      </c>
      <c r="C334" s="355"/>
      <c r="D334" s="356"/>
      <c r="E334" s="355"/>
      <c r="F334" s="356"/>
      <c r="G334" s="355"/>
      <c r="H334" s="356"/>
      <c r="I334" s="230">
        <f t="shared" ref="I334:J334" si="120">I312-I323</f>
        <v>0</v>
      </c>
      <c r="J334" s="285">
        <f t="shared" si="120"/>
        <v>0</v>
      </c>
      <c r="K334" s="355"/>
      <c r="L334" s="356"/>
      <c r="M334" s="230">
        <f t="shared" ref="M334:P334" si="121">M312-M323</f>
        <v>0</v>
      </c>
      <c r="N334" s="285">
        <f t="shared" si="121"/>
        <v>0</v>
      </c>
      <c r="O334" s="230">
        <f t="shared" si="121"/>
        <v>0</v>
      </c>
      <c r="P334" s="285">
        <f t="shared" si="121"/>
        <v>0</v>
      </c>
      <c r="Q334" s="355"/>
      <c r="R334" s="356"/>
      <c r="S334" s="230">
        <f t="shared" ref="S334:T334" si="122">S312-S323</f>
        <v>0</v>
      </c>
      <c r="T334" s="285">
        <f t="shared" si="122"/>
        <v>0</v>
      </c>
      <c r="U334" s="355"/>
      <c r="V334" s="356"/>
      <c r="W334" s="230">
        <f t="shared" ref="W334:Z334" si="123">W312-W323</f>
        <v>0</v>
      </c>
      <c r="X334" s="285">
        <f t="shared" si="123"/>
        <v>0</v>
      </c>
      <c r="Y334" s="230">
        <f t="shared" si="123"/>
        <v>0</v>
      </c>
      <c r="Z334" s="293">
        <f t="shared" si="123"/>
        <v>0</v>
      </c>
    </row>
    <row r="335" spans="1:27" x14ac:dyDescent="0.2">
      <c r="A335" s="699"/>
      <c r="B335" s="577" t="s">
        <v>380</v>
      </c>
      <c r="C335" s="355"/>
      <c r="D335" s="356"/>
      <c r="E335" s="355"/>
      <c r="F335" s="356"/>
      <c r="G335" s="355"/>
      <c r="H335" s="356"/>
      <c r="I335" s="230">
        <f t="shared" ref="I335:J335" si="124">I313-I324</f>
        <v>10287</v>
      </c>
      <c r="J335" s="285">
        <f t="shared" si="124"/>
        <v>2.8</v>
      </c>
      <c r="K335" s="355"/>
      <c r="L335" s="356"/>
      <c r="M335" s="230">
        <f t="shared" ref="M335:O335" si="125">M313-M324</f>
        <v>5393</v>
      </c>
      <c r="N335" s="285">
        <f t="shared" si="125"/>
        <v>1.5</v>
      </c>
      <c r="O335" s="230">
        <f t="shared" si="125"/>
        <v>109</v>
      </c>
      <c r="P335" s="285">
        <f>P313-P324</f>
        <v>0</v>
      </c>
      <c r="Q335" s="355"/>
      <c r="R335" s="356"/>
      <c r="S335" s="230">
        <f t="shared" ref="S335:T335" si="126">S313-S324</f>
        <v>268</v>
      </c>
      <c r="T335" s="285">
        <f t="shared" si="126"/>
        <v>0.10000000000000003</v>
      </c>
      <c r="U335" s="355"/>
      <c r="V335" s="356"/>
      <c r="W335" s="230">
        <f t="shared" ref="W335:Z335" si="127">W313-W324</f>
        <v>4468</v>
      </c>
      <c r="X335" s="285">
        <f t="shared" si="127"/>
        <v>1.1999999999999997</v>
      </c>
      <c r="Y335" s="230">
        <f t="shared" si="127"/>
        <v>1515</v>
      </c>
      <c r="Z335" s="293">
        <f t="shared" si="127"/>
        <v>0.7</v>
      </c>
    </row>
    <row r="336" spans="1:27" x14ac:dyDescent="0.2">
      <c r="A336" s="699"/>
      <c r="B336" s="577" t="s">
        <v>381</v>
      </c>
      <c r="C336" s="355"/>
      <c r="D336" s="356"/>
      <c r="E336" s="355"/>
      <c r="F336" s="356"/>
      <c r="G336" s="355"/>
      <c r="H336" s="356"/>
      <c r="I336" s="230">
        <f t="shared" ref="I336:J336" si="128">I314-I325</f>
        <v>0</v>
      </c>
      <c r="J336" s="285">
        <f t="shared" si="128"/>
        <v>0</v>
      </c>
      <c r="K336" s="355"/>
      <c r="L336" s="356"/>
      <c r="M336" s="230">
        <f t="shared" ref="M336:P336" si="129">M314-M325</f>
        <v>0</v>
      </c>
      <c r="N336" s="285">
        <f t="shared" si="129"/>
        <v>0</v>
      </c>
      <c r="O336" s="230">
        <f t="shared" si="129"/>
        <v>0</v>
      </c>
      <c r="P336" s="285">
        <f t="shared" si="129"/>
        <v>0</v>
      </c>
      <c r="Q336" s="355"/>
      <c r="R336" s="356"/>
      <c r="S336" s="230">
        <f t="shared" ref="S336:T336" si="130">S314-S325</f>
        <v>0</v>
      </c>
      <c r="T336" s="285">
        <f t="shared" si="130"/>
        <v>0</v>
      </c>
      <c r="U336" s="355"/>
      <c r="V336" s="356"/>
      <c r="W336" s="230">
        <f t="shared" ref="W336:Z336" si="131">W314-W325</f>
        <v>0</v>
      </c>
      <c r="X336" s="285">
        <f t="shared" si="131"/>
        <v>0</v>
      </c>
      <c r="Y336" s="230">
        <f t="shared" si="131"/>
        <v>0</v>
      </c>
      <c r="Z336" s="293">
        <f t="shared" si="131"/>
        <v>0</v>
      </c>
    </row>
    <row r="337" spans="1:26" s="20" customFormat="1" x14ac:dyDescent="0.2">
      <c r="A337" s="700"/>
      <c r="B337" s="274" t="s">
        <v>954</v>
      </c>
      <c r="C337" s="357"/>
      <c r="D337" s="358"/>
      <c r="E337" s="357"/>
      <c r="F337" s="358"/>
      <c r="G337" s="357"/>
      <c r="H337" s="358"/>
      <c r="I337" s="275">
        <f>I335</f>
        <v>10287</v>
      </c>
      <c r="J337" s="294">
        <f>J335</f>
        <v>2.8</v>
      </c>
      <c r="K337" s="357"/>
      <c r="L337" s="358"/>
      <c r="M337" s="275">
        <f>M335</f>
        <v>5393</v>
      </c>
      <c r="N337" s="294">
        <f>N335</f>
        <v>1.5</v>
      </c>
      <c r="O337" s="275">
        <f>O335</f>
        <v>109</v>
      </c>
      <c r="P337" s="294">
        <f>P335</f>
        <v>0</v>
      </c>
      <c r="Q337" s="357"/>
      <c r="R337" s="358"/>
      <c r="S337" s="275">
        <f>S335</f>
        <v>268</v>
      </c>
      <c r="T337" s="294">
        <f>T335</f>
        <v>0.10000000000000003</v>
      </c>
      <c r="U337" s="357"/>
      <c r="V337" s="358"/>
      <c r="W337" s="275">
        <f>W335</f>
        <v>4468</v>
      </c>
      <c r="X337" s="294">
        <f>X335</f>
        <v>1.1999999999999997</v>
      </c>
      <c r="Y337" s="275">
        <f>Y335</f>
        <v>1515</v>
      </c>
      <c r="Z337" s="294">
        <f>Z335</f>
        <v>0.7</v>
      </c>
    </row>
    <row r="338" spans="1:26" s="227" customFormat="1" x14ac:dyDescent="0.2">
      <c r="A338" s="386"/>
      <c r="B338" s="195"/>
      <c r="C338" s="268"/>
      <c r="D338" s="268"/>
      <c r="E338" s="268"/>
      <c r="F338" s="268"/>
      <c r="G338" s="268"/>
      <c r="H338" s="268"/>
      <c r="I338" s="268"/>
      <c r="J338" s="268"/>
      <c r="K338" s="268"/>
      <c r="L338" s="268"/>
      <c r="M338" s="268"/>
      <c r="N338" s="268"/>
      <c r="O338" s="268"/>
      <c r="P338" s="268"/>
      <c r="Q338" s="268"/>
      <c r="R338" s="268"/>
      <c r="S338" s="268"/>
      <c r="T338" s="268"/>
      <c r="U338" s="268"/>
      <c r="V338" s="268"/>
      <c r="W338" s="268"/>
      <c r="X338" s="268"/>
      <c r="Y338" s="268"/>
      <c r="Z338" s="268"/>
    </row>
    <row r="339" spans="1:26" s="202" customFormat="1" ht="13.15" customHeight="1" x14ac:dyDescent="0.2">
      <c r="A339" s="698" t="s">
        <v>913</v>
      </c>
      <c r="B339" s="269" t="s">
        <v>962</v>
      </c>
      <c r="C339" s="598" t="s">
        <v>962</v>
      </c>
      <c r="D339" s="314"/>
      <c r="E339" s="598" t="s">
        <v>962</v>
      </c>
      <c r="F339" s="314"/>
      <c r="G339" s="598" t="s">
        <v>962</v>
      </c>
      <c r="H339" s="314"/>
      <c r="I339" s="598" t="s">
        <v>962</v>
      </c>
      <c r="J339" s="314"/>
      <c r="K339" s="598" t="s">
        <v>962</v>
      </c>
      <c r="L339" s="314"/>
      <c r="M339" s="598" t="s">
        <v>962</v>
      </c>
      <c r="N339" s="314"/>
      <c r="O339" s="598" t="s">
        <v>962</v>
      </c>
      <c r="P339" s="314"/>
      <c r="Q339" s="598" t="s">
        <v>962</v>
      </c>
      <c r="R339" s="314"/>
      <c r="S339" s="598" t="s">
        <v>962</v>
      </c>
      <c r="T339" s="314"/>
      <c r="U339" s="598" t="s">
        <v>962</v>
      </c>
      <c r="V339" s="314"/>
      <c r="W339" s="598" t="s">
        <v>962</v>
      </c>
      <c r="X339" s="314"/>
      <c r="Y339" s="598" t="s">
        <v>962</v>
      </c>
      <c r="Z339" s="314"/>
    </row>
    <row r="340" spans="1:26" x14ac:dyDescent="0.2">
      <c r="A340" s="699"/>
      <c r="B340" s="26" t="s">
        <v>964</v>
      </c>
      <c r="C340" s="597">
        <v>0.02</v>
      </c>
      <c r="D340" s="599">
        <v>0.02</v>
      </c>
      <c r="E340" s="597">
        <v>0.02</v>
      </c>
      <c r="F340" s="599">
        <v>0.02</v>
      </c>
      <c r="G340" s="597">
        <v>0.02</v>
      </c>
      <c r="H340" s="599">
        <v>0.02</v>
      </c>
      <c r="I340" s="597">
        <v>0.02</v>
      </c>
      <c r="J340" s="599">
        <v>0.02</v>
      </c>
      <c r="K340" s="597">
        <v>0.02</v>
      </c>
      <c r="L340" s="599">
        <v>0.02</v>
      </c>
      <c r="M340" s="597">
        <v>0.02</v>
      </c>
      <c r="N340" s="599">
        <v>0.02</v>
      </c>
      <c r="O340" s="597">
        <v>0.02</v>
      </c>
      <c r="P340" s="599">
        <v>0.02</v>
      </c>
      <c r="Q340" s="597">
        <v>0.02</v>
      </c>
      <c r="R340" s="599">
        <v>0.02</v>
      </c>
      <c r="S340" s="597">
        <v>0.02</v>
      </c>
      <c r="T340" s="599">
        <v>0.02</v>
      </c>
      <c r="U340" s="597">
        <v>0.02</v>
      </c>
      <c r="V340" s="599">
        <v>0.02</v>
      </c>
      <c r="W340" s="597">
        <v>0.02</v>
      </c>
      <c r="X340" s="599">
        <v>0.02</v>
      </c>
      <c r="Y340" s="597">
        <v>0.02</v>
      </c>
      <c r="Z340" s="599">
        <v>0.02</v>
      </c>
    </row>
    <row r="341" spans="1:26" s="216" customFormat="1" x14ac:dyDescent="0.2">
      <c r="A341" s="699"/>
      <c r="B341" s="283" t="s">
        <v>491</v>
      </c>
      <c r="C341" s="289" t="s">
        <v>372</v>
      </c>
      <c r="D341" s="291" t="s">
        <v>397</v>
      </c>
      <c r="E341" s="289" t="s">
        <v>372</v>
      </c>
      <c r="F341" s="291" t="s">
        <v>397</v>
      </c>
      <c r="G341" s="289" t="s">
        <v>372</v>
      </c>
      <c r="H341" s="291" t="s">
        <v>397</v>
      </c>
      <c r="I341" s="289" t="s">
        <v>372</v>
      </c>
      <c r="J341" s="291" t="s">
        <v>397</v>
      </c>
      <c r="K341" s="289" t="s">
        <v>372</v>
      </c>
      <c r="L341" s="291" t="s">
        <v>397</v>
      </c>
      <c r="M341" s="289" t="s">
        <v>372</v>
      </c>
      <c r="N341" s="291" t="s">
        <v>397</v>
      </c>
      <c r="O341" s="289" t="s">
        <v>372</v>
      </c>
      <c r="P341" s="291" t="s">
        <v>397</v>
      </c>
      <c r="Q341" s="289" t="s">
        <v>372</v>
      </c>
      <c r="R341" s="291" t="s">
        <v>397</v>
      </c>
      <c r="S341" s="289" t="s">
        <v>372</v>
      </c>
      <c r="T341" s="291" t="s">
        <v>397</v>
      </c>
      <c r="U341" s="289" t="s">
        <v>372</v>
      </c>
      <c r="V341" s="291" t="s">
        <v>397</v>
      </c>
      <c r="W341" s="289" t="s">
        <v>372</v>
      </c>
      <c r="X341" s="291" t="s">
        <v>397</v>
      </c>
      <c r="Y341" s="289" t="s">
        <v>372</v>
      </c>
      <c r="Z341" s="291" t="s">
        <v>397</v>
      </c>
    </row>
    <row r="342" spans="1:26" x14ac:dyDescent="0.2">
      <c r="A342" s="699"/>
      <c r="B342" s="272" t="s">
        <v>373</v>
      </c>
      <c r="C342" s="230">
        <f t="shared" ref="C342:Z342" si="132">C6*C$340</f>
        <v>369.16</v>
      </c>
      <c r="D342" s="293">
        <f t="shared" si="132"/>
        <v>2.3080000000000003</v>
      </c>
      <c r="E342" s="230">
        <f t="shared" si="132"/>
        <v>1687.14</v>
      </c>
      <c r="F342" s="293">
        <f t="shared" si="132"/>
        <v>1.8740000000000001</v>
      </c>
      <c r="G342" s="230">
        <f t="shared" si="132"/>
        <v>620.48</v>
      </c>
      <c r="H342" s="293">
        <f t="shared" si="132"/>
        <v>2.0680000000000001</v>
      </c>
      <c r="I342" s="230">
        <f t="shared" si="132"/>
        <v>3017.7200000000003</v>
      </c>
      <c r="J342" s="293">
        <f t="shared" si="132"/>
        <v>0.83799999999999997</v>
      </c>
      <c r="K342" s="230">
        <f t="shared" si="132"/>
        <v>3027.36</v>
      </c>
      <c r="L342" s="293">
        <f t="shared" si="132"/>
        <v>1.262</v>
      </c>
      <c r="M342" s="230">
        <f t="shared" si="132"/>
        <v>3355.66</v>
      </c>
      <c r="N342" s="293">
        <f t="shared" si="132"/>
        <v>0.93200000000000005</v>
      </c>
      <c r="O342" s="230">
        <f t="shared" si="132"/>
        <v>5827.46</v>
      </c>
      <c r="P342" s="293">
        <f t="shared" si="132"/>
        <v>1.6180000000000001</v>
      </c>
      <c r="Q342" s="230">
        <f t="shared" si="132"/>
        <v>3592.98</v>
      </c>
      <c r="R342" s="293">
        <f t="shared" si="132"/>
        <v>1.4980000000000002</v>
      </c>
      <c r="S342" s="230">
        <f t="shared" si="132"/>
        <v>4335.9800000000005</v>
      </c>
      <c r="T342" s="293">
        <f t="shared" si="132"/>
        <v>1.806</v>
      </c>
      <c r="U342" s="230">
        <f t="shared" si="132"/>
        <v>5973.1</v>
      </c>
      <c r="V342" s="293">
        <f t="shared" si="132"/>
        <v>1.8659999999999999</v>
      </c>
      <c r="W342" s="230">
        <f t="shared" si="132"/>
        <v>4345.16</v>
      </c>
      <c r="X342" s="293">
        <f t="shared" si="132"/>
        <v>1.206</v>
      </c>
      <c r="Y342" s="230">
        <f t="shared" si="132"/>
        <v>4428.12</v>
      </c>
      <c r="Z342" s="293">
        <f t="shared" si="132"/>
        <v>1.8460000000000001</v>
      </c>
    </row>
    <row r="343" spans="1:26" x14ac:dyDescent="0.2">
      <c r="A343" s="699"/>
      <c r="B343" s="272" t="s">
        <v>374</v>
      </c>
      <c r="C343" s="230">
        <f t="shared" ref="C343:F343" si="133">C7*C$340</f>
        <v>0</v>
      </c>
      <c r="D343" s="293">
        <f t="shared" si="133"/>
        <v>0</v>
      </c>
      <c r="E343" s="230">
        <f t="shared" si="133"/>
        <v>0</v>
      </c>
      <c r="F343" s="293">
        <f t="shared" si="133"/>
        <v>0</v>
      </c>
      <c r="G343" s="230">
        <f t="shared" ref="G343:H350" si="134">G7*G$340</f>
        <v>39.660000000000004</v>
      </c>
      <c r="H343" s="293">
        <f t="shared" si="134"/>
        <v>0.13200000000000001</v>
      </c>
      <c r="I343" s="230">
        <f t="shared" ref="I343:Z343" si="135">I7*I$340</f>
        <v>484.44</v>
      </c>
      <c r="J343" s="293">
        <f t="shared" si="135"/>
        <v>0.13400000000000001</v>
      </c>
      <c r="K343" s="230">
        <f t="shared" si="135"/>
        <v>398.52</v>
      </c>
      <c r="L343" s="293">
        <f t="shared" si="135"/>
        <v>0.16600000000000001</v>
      </c>
      <c r="M343" s="230">
        <f t="shared" si="135"/>
        <v>632.26</v>
      </c>
      <c r="N343" s="293">
        <f t="shared" si="135"/>
        <v>0.17600000000000002</v>
      </c>
      <c r="O343" s="230">
        <f t="shared" si="135"/>
        <v>1803.3</v>
      </c>
      <c r="P343" s="293">
        <f t="shared" si="135"/>
        <v>0.5</v>
      </c>
      <c r="Q343" s="230">
        <f t="shared" si="135"/>
        <v>1131.6400000000001</v>
      </c>
      <c r="R343" s="293">
        <f t="shared" si="135"/>
        <v>0.47200000000000003</v>
      </c>
      <c r="S343" s="230">
        <f t="shared" si="135"/>
        <v>579.41999999999996</v>
      </c>
      <c r="T343" s="293">
        <f t="shared" si="135"/>
        <v>0.24199999999999999</v>
      </c>
      <c r="U343" s="230">
        <f t="shared" si="135"/>
        <v>1064.8399999999999</v>
      </c>
      <c r="V343" s="293">
        <f t="shared" si="135"/>
        <v>0.33200000000000002</v>
      </c>
      <c r="W343" s="230">
        <f t="shared" si="135"/>
        <v>1027.08</v>
      </c>
      <c r="X343" s="293">
        <f t="shared" si="135"/>
        <v>0.28600000000000003</v>
      </c>
      <c r="Y343" s="230">
        <f t="shared" si="135"/>
        <v>309.38</v>
      </c>
      <c r="Z343" s="293">
        <f t="shared" si="135"/>
        <v>0.128</v>
      </c>
    </row>
    <row r="344" spans="1:26" x14ac:dyDescent="0.2">
      <c r="A344" s="699"/>
      <c r="B344" s="272" t="s">
        <v>375</v>
      </c>
      <c r="C344" s="230">
        <f t="shared" ref="C344:F344" si="136">C8*C$340</f>
        <v>95.3</v>
      </c>
      <c r="D344" s="293">
        <f t="shared" si="136"/>
        <v>0.59599999999999997</v>
      </c>
      <c r="E344" s="230">
        <f t="shared" si="136"/>
        <v>535.84</v>
      </c>
      <c r="F344" s="293">
        <f t="shared" si="136"/>
        <v>0.59599999999999997</v>
      </c>
      <c r="G344" s="230">
        <f t="shared" si="134"/>
        <v>60.14</v>
      </c>
      <c r="H344" s="293">
        <f t="shared" si="134"/>
        <v>0.2</v>
      </c>
      <c r="I344" s="230">
        <f t="shared" ref="I344:Z344" si="137">I8*I$340</f>
        <v>360.8</v>
      </c>
      <c r="J344" s="293">
        <f t="shared" si="137"/>
        <v>0.1</v>
      </c>
      <c r="K344" s="230">
        <f t="shared" si="137"/>
        <v>470.6</v>
      </c>
      <c r="L344" s="293">
        <f t="shared" si="137"/>
        <v>0.19600000000000001</v>
      </c>
      <c r="M344" s="230">
        <f t="shared" si="137"/>
        <v>360.8</v>
      </c>
      <c r="N344" s="293">
        <f t="shared" si="137"/>
        <v>0.1</v>
      </c>
      <c r="O344" s="230">
        <f t="shared" si="137"/>
        <v>2143.4</v>
      </c>
      <c r="P344" s="293">
        <f t="shared" si="137"/>
        <v>0.59599999999999997</v>
      </c>
      <c r="Q344" s="230">
        <f t="shared" si="137"/>
        <v>1429.64</v>
      </c>
      <c r="R344" s="293">
        <f t="shared" si="137"/>
        <v>0.59599999999999997</v>
      </c>
      <c r="S344" s="230">
        <f t="shared" si="137"/>
        <v>1429.64</v>
      </c>
      <c r="T344" s="293">
        <f t="shared" si="137"/>
        <v>0.59599999999999997</v>
      </c>
      <c r="U344" s="230">
        <f t="shared" si="137"/>
        <v>3137.28</v>
      </c>
      <c r="V344" s="293">
        <f t="shared" si="137"/>
        <v>0.98</v>
      </c>
      <c r="W344" s="230">
        <f t="shared" si="137"/>
        <v>728.16</v>
      </c>
      <c r="X344" s="293">
        <f t="shared" si="137"/>
        <v>0.20199999999999999</v>
      </c>
      <c r="Y344" s="230">
        <f t="shared" si="137"/>
        <v>481.08</v>
      </c>
      <c r="Z344" s="293">
        <f t="shared" si="137"/>
        <v>0.2</v>
      </c>
    </row>
    <row r="345" spans="1:26" x14ac:dyDescent="0.2">
      <c r="A345" s="699"/>
      <c r="B345" s="272" t="s">
        <v>376</v>
      </c>
      <c r="C345" s="230">
        <f t="shared" ref="C345:F345" si="138">C9*C$340</f>
        <v>18.7</v>
      </c>
      <c r="D345" s="293">
        <f t="shared" si="138"/>
        <v>0.11599999999999999</v>
      </c>
      <c r="E345" s="230">
        <f t="shared" si="138"/>
        <v>131.4</v>
      </c>
      <c r="F345" s="293">
        <f t="shared" si="138"/>
        <v>0.14599999999999999</v>
      </c>
      <c r="G345" s="230">
        <f t="shared" si="134"/>
        <v>156.6</v>
      </c>
      <c r="H345" s="293">
        <f t="shared" si="134"/>
        <v>0.52200000000000002</v>
      </c>
      <c r="I345" s="230">
        <f t="shared" ref="I345:Z345" si="139">I9*I$340</f>
        <v>1879.48</v>
      </c>
      <c r="J345" s="293">
        <f t="shared" si="139"/>
        <v>0.52200000000000002</v>
      </c>
      <c r="K345" s="230">
        <f t="shared" si="139"/>
        <v>1376</v>
      </c>
      <c r="L345" s="293">
        <f t="shared" si="139"/>
        <v>0.57399999999999995</v>
      </c>
      <c r="M345" s="230">
        <f t="shared" si="139"/>
        <v>2443.3200000000002</v>
      </c>
      <c r="N345" s="293">
        <f t="shared" si="139"/>
        <v>0.67799999999999994</v>
      </c>
      <c r="O345" s="230">
        <f t="shared" si="139"/>
        <v>5853.04</v>
      </c>
      <c r="P345" s="293">
        <f t="shared" si="139"/>
        <v>1.6259999999999999</v>
      </c>
      <c r="Q345" s="230">
        <f t="shared" si="139"/>
        <v>3431.96</v>
      </c>
      <c r="R345" s="293">
        <f t="shared" si="139"/>
        <v>1.43</v>
      </c>
      <c r="S345" s="230">
        <f t="shared" si="139"/>
        <v>2336</v>
      </c>
      <c r="T345" s="293">
        <f t="shared" si="139"/>
        <v>0.97400000000000009</v>
      </c>
      <c r="U345" s="230">
        <f t="shared" si="139"/>
        <v>1651.2</v>
      </c>
      <c r="V345" s="293">
        <f t="shared" si="139"/>
        <v>0.51600000000000001</v>
      </c>
      <c r="W345" s="230">
        <f t="shared" si="139"/>
        <v>4493.76</v>
      </c>
      <c r="X345" s="293">
        <f t="shared" si="139"/>
        <v>1.248</v>
      </c>
      <c r="Y345" s="230">
        <f t="shared" si="139"/>
        <v>1378.08</v>
      </c>
      <c r="Z345" s="293">
        <f t="shared" si="139"/>
        <v>0.57399999999999995</v>
      </c>
    </row>
    <row r="346" spans="1:26" x14ac:dyDescent="0.2">
      <c r="A346" s="699"/>
      <c r="B346" s="272" t="s">
        <v>377</v>
      </c>
      <c r="C346" s="230">
        <f t="shared" ref="C346:F346" si="140">C10*C$340</f>
        <v>2.38</v>
      </c>
      <c r="D346" s="293">
        <f t="shared" si="140"/>
        <v>1.3999999999999999E-2</v>
      </c>
      <c r="E346" s="230">
        <f t="shared" si="140"/>
        <v>10.42</v>
      </c>
      <c r="F346" s="293">
        <f t="shared" si="140"/>
        <v>1.2E-2</v>
      </c>
      <c r="G346" s="230">
        <f t="shared" si="134"/>
        <v>6.42</v>
      </c>
      <c r="H346" s="293">
        <f t="shared" si="134"/>
        <v>2.2000000000000002E-2</v>
      </c>
      <c r="I346" s="230">
        <f t="shared" ref="I346:Z346" si="141">I10*I$340</f>
        <v>148.82</v>
      </c>
      <c r="J346" s="293">
        <f t="shared" si="141"/>
        <v>4.2000000000000003E-2</v>
      </c>
      <c r="K346" s="230">
        <f t="shared" si="141"/>
        <v>42.38</v>
      </c>
      <c r="L346" s="293">
        <f t="shared" si="141"/>
        <v>1.8000000000000002E-2</v>
      </c>
      <c r="M346" s="230">
        <f t="shared" si="141"/>
        <v>171.96</v>
      </c>
      <c r="N346" s="293">
        <f t="shared" si="141"/>
        <v>4.8000000000000001E-2</v>
      </c>
      <c r="O346" s="230">
        <f t="shared" si="141"/>
        <v>209.62</v>
      </c>
      <c r="P346" s="293">
        <f t="shared" si="141"/>
        <v>5.7999999999999996E-2</v>
      </c>
      <c r="Q346" s="230">
        <f t="shared" si="141"/>
        <v>37.56</v>
      </c>
      <c r="R346" s="293">
        <f t="shared" si="141"/>
        <v>1.6E-2</v>
      </c>
      <c r="S346" s="230">
        <f t="shared" si="141"/>
        <v>106.72</v>
      </c>
      <c r="T346" s="293">
        <f t="shared" si="141"/>
        <v>4.4000000000000004E-2</v>
      </c>
      <c r="U346" s="230">
        <f t="shared" si="141"/>
        <v>65.239999999999995</v>
      </c>
      <c r="V346" s="293">
        <f t="shared" si="141"/>
        <v>0.02</v>
      </c>
      <c r="W346" s="230">
        <f t="shared" si="141"/>
        <v>238.94</v>
      </c>
      <c r="X346" s="293">
        <f t="shared" si="141"/>
        <v>6.6000000000000003E-2</v>
      </c>
      <c r="Y346" s="230">
        <f t="shared" si="141"/>
        <v>125.76</v>
      </c>
      <c r="Z346" s="293">
        <f t="shared" si="141"/>
        <v>5.2000000000000005E-2</v>
      </c>
    </row>
    <row r="347" spans="1:26" x14ac:dyDescent="0.2">
      <c r="A347" s="699"/>
      <c r="B347" s="272" t="s">
        <v>378</v>
      </c>
      <c r="C347" s="230">
        <f t="shared" ref="C347:F347" si="142">C11*C$340</f>
        <v>36.44</v>
      </c>
      <c r="D347" s="293">
        <f t="shared" si="142"/>
        <v>0.22800000000000001</v>
      </c>
      <c r="E347" s="230">
        <f t="shared" si="142"/>
        <v>205.06</v>
      </c>
      <c r="F347" s="293">
        <f t="shared" si="142"/>
        <v>0.22800000000000001</v>
      </c>
      <c r="G347" s="230">
        <f t="shared" si="134"/>
        <v>156.6</v>
      </c>
      <c r="H347" s="293">
        <f t="shared" si="134"/>
        <v>0.52200000000000002</v>
      </c>
      <c r="I347" s="230">
        <f t="shared" ref="I347:Z347" si="143">I11*I$340</f>
        <v>2255.04</v>
      </c>
      <c r="J347" s="293">
        <f t="shared" si="143"/>
        <v>0.626</v>
      </c>
      <c r="K347" s="230">
        <f t="shared" si="143"/>
        <v>1290</v>
      </c>
      <c r="L347" s="293">
        <f t="shared" si="143"/>
        <v>0.53800000000000003</v>
      </c>
      <c r="M347" s="230">
        <f t="shared" si="143"/>
        <v>2255.04</v>
      </c>
      <c r="N347" s="293">
        <f t="shared" si="143"/>
        <v>0.626</v>
      </c>
      <c r="O347" s="230">
        <f t="shared" si="143"/>
        <v>4203.4400000000005</v>
      </c>
      <c r="P347" s="293">
        <f t="shared" si="143"/>
        <v>1.1679999999999999</v>
      </c>
      <c r="Q347" s="230">
        <f t="shared" si="143"/>
        <v>2803.2000000000003</v>
      </c>
      <c r="R347" s="293">
        <f t="shared" si="143"/>
        <v>1.1679999999999999</v>
      </c>
      <c r="S347" s="230">
        <f t="shared" si="143"/>
        <v>2803.2000000000003</v>
      </c>
      <c r="T347" s="293">
        <f t="shared" si="143"/>
        <v>1.1679999999999999</v>
      </c>
      <c r="U347" s="230">
        <f t="shared" si="143"/>
        <v>1651.2</v>
      </c>
      <c r="V347" s="293">
        <f t="shared" si="143"/>
        <v>0.51600000000000001</v>
      </c>
      <c r="W347" s="230">
        <f t="shared" si="143"/>
        <v>5054.92</v>
      </c>
      <c r="X347" s="293">
        <f t="shared" si="143"/>
        <v>1.4040000000000001</v>
      </c>
      <c r="Y347" s="230">
        <f t="shared" si="143"/>
        <v>1378.08</v>
      </c>
      <c r="Z347" s="293">
        <f t="shared" si="143"/>
        <v>0.57399999999999995</v>
      </c>
    </row>
    <row r="348" spans="1:26" x14ac:dyDescent="0.2">
      <c r="A348" s="699"/>
      <c r="B348" s="272" t="s">
        <v>379</v>
      </c>
      <c r="C348" s="230">
        <f t="shared" ref="C348:F348" si="144">C12*C$340</f>
        <v>56.06</v>
      </c>
      <c r="D348" s="293">
        <f t="shared" si="144"/>
        <v>0.35000000000000003</v>
      </c>
      <c r="E348" s="230">
        <f t="shared" si="144"/>
        <v>315.36</v>
      </c>
      <c r="F348" s="293">
        <f t="shared" si="144"/>
        <v>0.35000000000000003</v>
      </c>
      <c r="G348" s="230">
        <f t="shared" si="134"/>
        <v>31.32</v>
      </c>
      <c r="H348" s="293">
        <f t="shared" si="134"/>
        <v>0.10400000000000001</v>
      </c>
      <c r="I348" s="230">
        <f t="shared" ref="I348:Z348" si="145">I12*I$340</f>
        <v>2481</v>
      </c>
      <c r="J348" s="293">
        <f t="shared" si="145"/>
        <v>0.69000000000000006</v>
      </c>
      <c r="K348" s="230">
        <f t="shared" si="145"/>
        <v>619.20000000000005</v>
      </c>
      <c r="L348" s="293">
        <f t="shared" si="145"/>
        <v>0.25800000000000001</v>
      </c>
      <c r="M348" s="230">
        <f t="shared" si="145"/>
        <v>2481</v>
      </c>
      <c r="N348" s="293">
        <f t="shared" si="145"/>
        <v>0.69000000000000006</v>
      </c>
      <c r="O348" s="230">
        <f t="shared" si="145"/>
        <v>3363.84</v>
      </c>
      <c r="P348" s="293">
        <f t="shared" si="145"/>
        <v>0.93400000000000005</v>
      </c>
      <c r="Q348" s="230">
        <f t="shared" si="145"/>
        <v>1121.28</v>
      </c>
      <c r="R348" s="293">
        <f t="shared" si="145"/>
        <v>0.46799999999999997</v>
      </c>
      <c r="S348" s="230">
        <f t="shared" si="145"/>
        <v>280.32</v>
      </c>
      <c r="T348" s="293">
        <f t="shared" si="145"/>
        <v>0.11599999999999999</v>
      </c>
      <c r="U348" s="230">
        <f t="shared" si="145"/>
        <v>165.12</v>
      </c>
      <c r="V348" s="293">
        <f t="shared" si="145"/>
        <v>5.2000000000000005E-2</v>
      </c>
      <c r="W348" s="230">
        <f t="shared" si="145"/>
        <v>269.56</v>
      </c>
      <c r="X348" s="293">
        <f t="shared" si="145"/>
        <v>7.400000000000001E-2</v>
      </c>
      <c r="Y348" s="230">
        <f t="shared" si="145"/>
        <v>137.80000000000001</v>
      </c>
      <c r="Z348" s="293">
        <f t="shared" si="145"/>
        <v>5.7999999999999996E-2</v>
      </c>
    </row>
    <row r="349" spans="1:26" x14ac:dyDescent="0.2">
      <c r="A349" s="699"/>
      <c r="B349" s="272" t="s">
        <v>380</v>
      </c>
      <c r="C349" s="230">
        <f t="shared" ref="C349:F349" si="146">C13*C$340</f>
        <v>0</v>
      </c>
      <c r="D349" s="293">
        <f t="shared" si="146"/>
        <v>0</v>
      </c>
      <c r="E349" s="230">
        <f t="shared" si="146"/>
        <v>0</v>
      </c>
      <c r="F349" s="293">
        <f t="shared" si="146"/>
        <v>0</v>
      </c>
      <c r="G349" s="230">
        <f t="shared" si="134"/>
        <v>0</v>
      </c>
      <c r="H349" s="293">
        <f t="shared" si="134"/>
        <v>0</v>
      </c>
      <c r="I349" s="230">
        <f t="shared" ref="I349:Z349" si="147">I13*I$340</f>
        <v>0</v>
      </c>
      <c r="J349" s="293">
        <f t="shared" si="147"/>
        <v>0</v>
      </c>
      <c r="K349" s="230">
        <f t="shared" si="147"/>
        <v>0</v>
      </c>
      <c r="L349" s="293">
        <f t="shared" si="147"/>
        <v>0</v>
      </c>
      <c r="M349" s="230">
        <f t="shared" si="147"/>
        <v>0</v>
      </c>
      <c r="N349" s="293">
        <f t="shared" si="147"/>
        <v>0</v>
      </c>
      <c r="O349" s="230">
        <f t="shared" si="147"/>
        <v>0</v>
      </c>
      <c r="P349" s="293">
        <f t="shared" si="147"/>
        <v>0</v>
      </c>
      <c r="Q349" s="230">
        <f t="shared" si="147"/>
        <v>0</v>
      </c>
      <c r="R349" s="293">
        <f t="shared" si="147"/>
        <v>0</v>
      </c>
      <c r="S349" s="230">
        <f t="shared" si="147"/>
        <v>0</v>
      </c>
      <c r="T349" s="293">
        <f t="shared" si="147"/>
        <v>0</v>
      </c>
      <c r="U349" s="230">
        <f t="shared" si="147"/>
        <v>0</v>
      </c>
      <c r="V349" s="293">
        <f t="shared" si="147"/>
        <v>0</v>
      </c>
      <c r="W349" s="230">
        <f t="shared" si="147"/>
        <v>0</v>
      </c>
      <c r="X349" s="293">
        <f t="shared" si="147"/>
        <v>0</v>
      </c>
      <c r="Y349" s="230">
        <f t="shared" si="147"/>
        <v>0</v>
      </c>
      <c r="Z349" s="293">
        <f t="shared" si="147"/>
        <v>0</v>
      </c>
    </row>
    <row r="350" spans="1:26" x14ac:dyDescent="0.2">
      <c r="A350" s="699"/>
      <c r="B350" s="272" t="s">
        <v>381</v>
      </c>
      <c r="C350" s="230">
        <f t="shared" ref="C350:F350" si="148">C14*C$340</f>
        <v>0</v>
      </c>
      <c r="D350" s="293">
        <f t="shared" si="148"/>
        <v>0</v>
      </c>
      <c r="E350" s="230">
        <f t="shared" si="148"/>
        <v>0</v>
      </c>
      <c r="F350" s="293">
        <f t="shared" si="148"/>
        <v>0</v>
      </c>
      <c r="G350" s="230">
        <f t="shared" si="134"/>
        <v>0</v>
      </c>
      <c r="H350" s="293">
        <f t="shared" si="134"/>
        <v>0</v>
      </c>
      <c r="I350" s="230">
        <f t="shared" ref="I350:Z350" si="149">I14*I$340</f>
        <v>404.7</v>
      </c>
      <c r="J350" s="293">
        <f t="shared" si="149"/>
        <v>0.11199999999999999</v>
      </c>
      <c r="K350" s="230">
        <f t="shared" si="149"/>
        <v>0</v>
      </c>
      <c r="L350" s="293">
        <f t="shared" si="149"/>
        <v>0</v>
      </c>
      <c r="M350" s="230">
        <f t="shared" si="149"/>
        <v>520.34</v>
      </c>
      <c r="N350" s="293">
        <f t="shared" si="149"/>
        <v>0.14400000000000002</v>
      </c>
      <c r="O350" s="230">
        <f t="shared" si="149"/>
        <v>1030.26</v>
      </c>
      <c r="P350" s="293">
        <f t="shared" si="149"/>
        <v>0.28600000000000003</v>
      </c>
      <c r="Q350" s="230">
        <f t="shared" si="149"/>
        <v>0</v>
      </c>
      <c r="R350" s="293">
        <f t="shared" si="149"/>
        <v>0</v>
      </c>
      <c r="S350" s="230">
        <f t="shared" si="149"/>
        <v>456</v>
      </c>
      <c r="T350" s="293">
        <f t="shared" si="149"/>
        <v>0.19</v>
      </c>
      <c r="U350" s="230">
        <f t="shared" si="149"/>
        <v>0</v>
      </c>
      <c r="V350" s="293">
        <f t="shared" si="149"/>
        <v>0</v>
      </c>
      <c r="W350" s="230">
        <f t="shared" si="149"/>
        <v>1064.3800000000001</v>
      </c>
      <c r="X350" s="293">
        <f t="shared" si="149"/>
        <v>0.29600000000000004</v>
      </c>
      <c r="Y350" s="230">
        <f t="shared" si="149"/>
        <v>351.8</v>
      </c>
      <c r="Z350" s="293">
        <f t="shared" si="149"/>
        <v>0.14599999999999999</v>
      </c>
    </row>
    <row r="351" spans="1:26" s="20" customFormat="1" x14ac:dyDescent="0.2">
      <c r="A351" s="700"/>
      <c r="B351" s="274" t="s">
        <v>382</v>
      </c>
      <c r="C351" s="275">
        <f t="shared" ref="C351:Z351" si="150">SUM(C342:C350)</f>
        <v>578.04</v>
      </c>
      <c r="D351" s="294">
        <f t="shared" si="150"/>
        <v>3.6120000000000005</v>
      </c>
      <c r="E351" s="275">
        <f t="shared" si="150"/>
        <v>2885.2200000000003</v>
      </c>
      <c r="F351" s="294">
        <f t="shared" si="150"/>
        <v>3.2060000000000004</v>
      </c>
      <c r="G351" s="275">
        <f t="shared" si="150"/>
        <v>1071.2199999999998</v>
      </c>
      <c r="H351" s="294">
        <f t="shared" si="150"/>
        <v>3.5700000000000003</v>
      </c>
      <c r="I351" s="275">
        <f t="shared" si="150"/>
        <v>11032</v>
      </c>
      <c r="J351" s="294">
        <f t="shared" si="150"/>
        <v>3.0640000000000001</v>
      </c>
      <c r="K351" s="275">
        <f t="shared" si="150"/>
        <v>7224.0599999999995</v>
      </c>
      <c r="L351" s="294">
        <f t="shared" si="150"/>
        <v>3.0119999999999996</v>
      </c>
      <c r="M351" s="275">
        <f t="shared" si="150"/>
        <v>12220.380000000001</v>
      </c>
      <c r="N351" s="294">
        <f t="shared" si="150"/>
        <v>3.3940000000000001</v>
      </c>
      <c r="O351" s="275">
        <f t="shared" si="150"/>
        <v>24434.36</v>
      </c>
      <c r="P351" s="294">
        <f t="shared" si="150"/>
        <v>6.7859999999999996</v>
      </c>
      <c r="Q351" s="275">
        <f t="shared" si="150"/>
        <v>13548.260000000002</v>
      </c>
      <c r="R351" s="294">
        <f t="shared" si="150"/>
        <v>5.6480000000000006</v>
      </c>
      <c r="S351" s="275">
        <f t="shared" si="150"/>
        <v>12327.28</v>
      </c>
      <c r="T351" s="294">
        <f t="shared" si="150"/>
        <v>5.1360000000000001</v>
      </c>
      <c r="U351" s="275">
        <f t="shared" si="150"/>
        <v>13707.980000000003</v>
      </c>
      <c r="V351" s="294">
        <f t="shared" si="150"/>
        <v>4.282</v>
      </c>
      <c r="W351" s="275">
        <f t="shared" si="150"/>
        <v>17221.96</v>
      </c>
      <c r="X351" s="294">
        <f t="shared" si="150"/>
        <v>4.782</v>
      </c>
      <c r="Y351" s="275">
        <f t="shared" si="150"/>
        <v>8590.0999999999985</v>
      </c>
      <c r="Z351" s="294">
        <f t="shared" si="150"/>
        <v>3.5779999999999998</v>
      </c>
    </row>
    <row r="352" spans="1:26" s="227" customFormat="1" x14ac:dyDescent="0.2">
      <c r="A352" s="386"/>
      <c r="B352" s="195"/>
      <c r="C352" s="268"/>
      <c r="D352" s="268"/>
      <c r="E352" s="268"/>
      <c r="F352" s="268"/>
      <c r="G352" s="268"/>
      <c r="H352" s="268"/>
      <c r="I352" s="268"/>
      <c r="J352" s="268"/>
      <c r="K352" s="268"/>
      <c r="L352" s="268"/>
      <c r="M352" s="268"/>
      <c r="N352" s="268"/>
      <c r="O352" s="268"/>
      <c r="P352" s="268"/>
      <c r="Q352" s="268"/>
      <c r="R352" s="268"/>
      <c r="S352" s="268"/>
      <c r="T352" s="268"/>
      <c r="U352" s="268"/>
      <c r="V352" s="268"/>
      <c r="W352" s="268"/>
      <c r="X352" s="268"/>
      <c r="Y352" s="268"/>
      <c r="Z352" s="268"/>
    </row>
    <row r="353" spans="1:26" s="202" customFormat="1" ht="13.15" customHeight="1" x14ac:dyDescent="0.2">
      <c r="A353" s="698" t="s">
        <v>914</v>
      </c>
      <c r="B353" s="269" t="s">
        <v>962</v>
      </c>
      <c r="C353" s="368"/>
      <c r="D353" s="369"/>
      <c r="E353" s="368"/>
      <c r="F353" s="369"/>
      <c r="G353" s="598" t="s">
        <v>962</v>
      </c>
      <c r="H353" s="314"/>
      <c r="I353" s="598" t="s">
        <v>962</v>
      </c>
      <c r="J353" s="314"/>
      <c r="K353" s="598" t="s">
        <v>962</v>
      </c>
      <c r="L353" s="314"/>
      <c r="M353" s="598" t="s">
        <v>962</v>
      </c>
      <c r="N353" s="314"/>
      <c r="O353" s="598" t="s">
        <v>962</v>
      </c>
      <c r="P353" s="314"/>
      <c r="Q353" s="598" t="s">
        <v>962</v>
      </c>
      <c r="R353" s="314"/>
      <c r="S353" s="598" t="s">
        <v>962</v>
      </c>
      <c r="T353" s="314"/>
      <c r="U353" s="598" t="s">
        <v>962</v>
      </c>
      <c r="V353" s="314"/>
      <c r="W353" s="598" t="s">
        <v>962</v>
      </c>
      <c r="X353" s="314"/>
      <c r="Y353" s="598" t="s">
        <v>962</v>
      </c>
      <c r="Z353" s="314"/>
    </row>
    <row r="354" spans="1:26" x14ac:dyDescent="0.2">
      <c r="A354" s="699"/>
      <c r="B354" s="26" t="s">
        <v>963</v>
      </c>
      <c r="C354" s="372"/>
      <c r="D354" s="381"/>
      <c r="E354" s="372"/>
      <c r="F354" s="381"/>
      <c r="G354" s="597">
        <v>0.02</v>
      </c>
      <c r="H354" s="599">
        <v>0.02</v>
      </c>
      <c r="I354" s="597">
        <v>0.02</v>
      </c>
      <c r="J354" s="599">
        <v>0.02</v>
      </c>
      <c r="K354" s="597">
        <v>0.02</v>
      </c>
      <c r="L354" s="599">
        <v>0.02</v>
      </c>
      <c r="M354" s="597">
        <v>0.02</v>
      </c>
      <c r="N354" s="599">
        <v>0.02</v>
      </c>
      <c r="O354" s="597">
        <v>0.02</v>
      </c>
      <c r="P354" s="599">
        <v>0.02</v>
      </c>
      <c r="Q354" s="597">
        <v>0.02</v>
      </c>
      <c r="R354" s="599">
        <v>0.02</v>
      </c>
      <c r="S354" s="597">
        <v>0.02</v>
      </c>
      <c r="T354" s="599">
        <v>0.02</v>
      </c>
      <c r="U354" s="597">
        <v>0.02</v>
      </c>
      <c r="V354" s="599">
        <v>0.02</v>
      </c>
      <c r="W354" s="597">
        <v>0.02</v>
      </c>
      <c r="X354" s="599">
        <v>0.02</v>
      </c>
      <c r="Y354" s="597">
        <v>0.02</v>
      </c>
      <c r="Z354" s="599">
        <v>0.02</v>
      </c>
    </row>
    <row r="355" spans="1:26" s="216" customFormat="1" x14ac:dyDescent="0.2">
      <c r="A355" s="699"/>
      <c r="B355" s="283" t="s">
        <v>491</v>
      </c>
      <c r="C355" s="353"/>
      <c r="D355" s="354"/>
      <c r="E355" s="353"/>
      <c r="F355" s="374"/>
      <c r="G355" s="289" t="s">
        <v>372</v>
      </c>
      <c r="H355" s="291" t="s">
        <v>397</v>
      </c>
      <c r="I355" s="289" t="s">
        <v>372</v>
      </c>
      <c r="J355" s="291" t="s">
        <v>397</v>
      </c>
      <c r="K355" s="289" t="s">
        <v>372</v>
      </c>
      <c r="L355" s="291" t="s">
        <v>397</v>
      </c>
      <c r="M355" s="289" t="s">
        <v>372</v>
      </c>
      <c r="N355" s="291" t="s">
        <v>397</v>
      </c>
      <c r="O355" s="289" t="s">
        <v>372</v>
      </c>
      <c r="P355" s="291" t="s">
        <v>397</v>
      </c>
      <c r="Q355" s="289" t="s">
        <v>372</v>
      </c>
      <c r="R355" s="291" t="s">
        <v>397</v>
      </c>
      <c r="S355" s="289" t="s">
        <v>372</v>
      </c>
      <c r="T355" s="291" t="s">
        <v>397</v>
      </c>
      <c r="U355" s="289" t="s">
        <v>372</v>
      </c>
      <c r="V355" s="291" t="s">
        <v>397</v>
      </c>
      <c r="W355" s="289" t="s">
        <v>372</v>
      </c>
      <c r="X355" s="291" t="s">
        <v>397</v>
      </c>
      <c r="Y355" s="289" t="s">
        <v>372</v>
      </c>
      <c r="Z355" s="291" t="s">
        <v>397</v>
      </c>
    </row>
    <row r="356" spans="1:26" x14ac:dyDescent="0.2">
      <c r="A356" s="699"/>
      <c r="B356" s="272" t="s">
        <v>373</v>
      </c>
      <c r="C356" s="355"/>
      <c r="D356" s="356"/>
      <c r="E356" s="355"/>
      <c r="F356" s="384"/>
      <c r="G356" s="230">
        <f t="shared" ref="G356:Z356" si="151">G6*G$354</f>
        <v>620.48</v>
      </c>
      <c r="H356" s="293">
        <f t="shared" si="151"/>
        <v>2.0680000000000001</v>
      </c>
      <c r="I356" s="230">
        <f t="shared" si="151"/>
        <v>3017.7200000000003</v>
      </c>
      <c r="J356" s="293">
        <f t="shared" si="151"/>
        <v>0.83799999999999997</v>
      </c>
      <c r="K356" s="230">
        <f t="shared" si="151"/>
        <v>3027.36</v>
      </c>
      <c r="L356" s="293">
        <f t="shared" si="151"/>
        <v>1.262</v>
      </c>
      <c r="M356" s="230">
        <f t="shared" si="151"/>
        <v>3355.66</v>
      </c>
      <c r="N356" s="293">
        <f t="shared" si="151"/>
        <v>0.93200000000000005</v>
      </c>
      <c r="O356" s="230">
        <f t="shared" si="151"/>
        <v>5827.46</v>
      </c>
      <c r="P356" s="293">
        <f t="shared" si="151"/>
        <v>1.6180000000000001</v>
      </c>
      <c r="Q356" s="230">
        <f t="shared" si="151"/>
        <v>3592.98</v>
      </c>
      <c r="R356" s="293">
        <f t="shared" si="151"/>
        <v>1.4980000000000002</v>
      </c>
      <c r="S356" s="230">
        <f t="shared" si="151"/>
        <v>4335.9800000000005</v>
      </c>
      <c r="T356" s="293">
        <f t="shared" si="151"/>
        <v>1.806</v>
      </c>
      <c r="U356" s="230">
        <f t="shared" si="151"/>
        <v>5973.1</v>
      </c>
      <c r="V356" s="293">
        <f t="shared" si="151"/>
        <v>1.8659999999999999</v>
      </c>
      <c r="W356" s="230">
        <f t="shared" si="151"/>
        <v>4345.16</v>
      </c>
      <c r="X356" s="293">
        <f t="shared" si="151"/>
        <v>1.206</v>
      </c>
      <c r="Y356" s="230">
        <f t="shared" si="151"/>
        <v>4428.12</v>
      </c>
      <c r="Z356" s="293">
        <f t="shared" si="151"/>
        <v>1.8460000000000001</v>
      </c>
    </row>
    <row r="357" spans="1:26" x14ac:dyDescent="0.2">
      <c r="A357" s="699"/>
      <c r="B357" s="272" t="s">
        <v>374</v>
      </c>
      <c r="C357" s="355"/>
      <c r="D357" s="356"/>
      <c r="E357" s="355"/>
      <c r="F357" s="384"/>
      <c r="G357" s="230">
        <f t="shared" ref="G357:Z357" si="152">G7*G$354</f>
        <v>39.660000000000004</v>
      </c>
      <c r="H357" s="293">
        <f t="shared" si="152"/>
        <v>0.13200000000000001</v>
      </c>
      <c r="I357" s="230">
        <f t="shared" si="152"/>
        <v>484.44</v>
      </c>
      <c r="J357" s="293">
        <f t="shared" si="152"/>
        <v>0.13400000000000001</v>
      </c>
      <c r="K357" s="230">
        <f t="shared" si="152"/>
        <v>398.52</v>
      </c>
      <c r="L357" s="293">
        <f t="shared" si="152"/>
        <v>0.16600000000000001</v>
      </c>
      <c r="M357" s="230">
        <f t="shared" si="152"/>
        <v>632.26</v>
      </c>
      <c r="N357" s="293">
        <f t="shared" si="152"/>
        <v>0.17600000000000002</v>
      </c>
      <c r="O357" s="230">
        <f t="shared" si="152"/>
        <v>1803.3</v>
      </c>
      <c r="P357" s="293">
        <f t="shared" si="152"/>
        <v>0.5</v>
      </c>
      <c r="Q357" s="230">
        <f t="shared" si="152"/>
        <v>1131.6400000000001</v>
      </c>
      <c r="R357" s="293">
        <f t="shared" si="152"/>
        <v>0.47200000000000003</v>
      </c>
      <c r="S357" s="230">
        <f t="shared" si="152"/>
        <v>579.41999999999996</v>
      </c>
      <c r="T357" s="293">
        <f t="shared" si="152"/>
        <v>0.24199999999999999</v>
      </c>
      <c r="U357" s="230">
        <f t="shared" si="152"/>
        <v>1064.8399999999999</v>
      </c>
      <c r="V357" s="293">
        <f t="shared" si="152"/>
        <v>0.33200000000000002</v>
      </c>
      <c r="W357" s="230">
        <f t="shared" si="152"/>
        <v>1027.08</v>
      </c>
      <c r="X357" s="293">
        <f t="shared" si="152"/>
        <v>0.28600000000000003</v>
      </c>
      <c r="Y357" s="230">
        <f t="shared" si="152"/>
        <v>309.38</v>
      </c>
      <c r="Z357" s="293">
        <f t="shared" si="152"/>
        <v>0.128</v>
      </c>
    </row>
    <row r="358" spans="1:26" x14ac:dyDescent="0.2">
      <c r="A358" s="699"/>
      <c r="B358" s="272" t="s">
        <v>375</v>
      </c>
      <c r="C358" s="355"/>
      <c r="D358" s="356"/>
      <c r="E358" s="355"/>
      <c r="F358" s="384"/>
      <c r="G358" s="230"/>
      <c r="H358" s="293"/>
      <c r="I358" s="230"/>
      <c r="J358" s="293"/>
      <c r="K358" s="230"/>
      <c r="L358" s="293"/>
      <c r="M358" s="230"/>
      <c r="N358" s="293"/>
      <c r="O358" s="230"/>
      <c r="P358" s="293"/>
      <c r="Q358" s="230"/>
      <c r="R358" s="293"/>
      <c r="S358" s="230"/>
      <c r="T358" s="293"/>
      <c r="U358" s="230"/>
      <c r="V358" s="293"/>
      <c r="W358" s="230"/>
      <c r="X358" s="293"/>
      <c r="Y358" s="230"/>
      <c r="Z358" s="293"/>
    </row>
    <row r="359" spans="1:26" x14ac:dyDescent="0.2">
      <c r="A359" s="699"/>
      <c r="B359" s="272" t="s">
        <v>376</v>
      </c>
      <c r="C359" s="355"/>
      <c r="D359" s="356"/>
      <c r="E359" s="355"/>
      <c r="F359" s="384"/>
      <c r="G359" s="230">
        <f t="shared" ref="G359:Z359" si="153">G9*G$354</f>
        <v>156.6</v>
      </c>
      <c r="H359" s="293">
        <f t="shared" si="153"/>
        <v>0.52200000000000002</v>
      </c>
      <c r="I359" s="230">
        <f t="shared" si="153"/>
        <v>1879.48</v>
      </c>
      <c r="J359" s="293">
        <f t="shared" si="153"/>
        <v>0.52200000000000002</v>
      </c>
      <c r="K359" s="230">
        <f t="shared" si="153"/>
        <v>1376</v>
      </c>
      <c r="L359" s="293">
        <f t="shared" si="153"/>
        <v>0.57399999999999995</v>
      </c>
      <c r="M359" s="230">
        <f t="shared" si="153"/>
        <v>2443.3200000000002</v>
      </c>
      <c r="N359" s="293">
        <f t="shared" si="153"/>
        <v>0.67799999999999994</v>
      </c>
      <c r="O359" s="230">
        <f t="shared" si="153"/>
        <v>5853.04</v>
      </c>
      <c r="P359" s="293">
        <f t="shared" si="153"/>
        <v>1.6259999999999999</v>
      </c>
      <c r="Q359" s="230">
        <f t="shared" si="153"/>
        <v>3431.96</v>
      </c>
      <c r="R359" s="293">
        <f t="shared" si="153"/>
        <v>1.43</v>
      </c>
      <c r="S359" s="230">
        <f t="shared" si="153"/>
        <v>2336</v>
      </c>
      <c r="T359" s="293">
        <f t="shared" si="153"/>
        <v>0.97400000000000009</v>
      </c>
      <c r="U359" s="230">
        <f t="shared" si="153"/>
        <v>1651.2</v>
      </c>
      <c r="V359" s="293">
        <f t="shared" si="153"/>
        <v>0.51600000000000001</v>
      </c>
      <c r="W359" s="230">
        <f t="shared" si="153"/>
        <v>4493.76</v>
      </c>
      <c r="X359" s="293">
        <f t="shared" si="153"/>
        <v>1.248</v>
      </c>
      <c r="Y359" s="230">
        <f t="shared" si="153"/>
        <v>1378.08</v>
      </c>
      <c r="Z359" s="293">
        <f t="shared" si="153"/>
        <v>0.57399999999999995</v>
      </c>
    </row>
    <row r="360" spans="1:26" x14ac:dyDescent="0.2">
      <c r="A360" s="699"/>
      <c r="B360" s="272" t="s">
        <v>377</v>
      </c>
      <c r="C360" s="355"/>
      <c r="D360" s="356"/>
      <c r="E360" s="355"/>
      <c r="F360" s="384"/>
      <c r="G360" s="230">
        <f t="shared" ref="G360:Z360" si="154">G10*G$354</f>
        <v>6.42</v>
      </c>
      <c r="H360" s="293">
        <f t="shared" si="154"/>
        <v>2.2000000000000002E-2</v>
      </c>
      <c r="I360" s="230">
        <f t="shared" si="154"/>
        <v>148.82</v>
      </c>
      <c r="J360" s="293">
        <f t="shared" si="154"/>
        <v>4.2000000000000003E-2</v>
      </c>
      <c r="K360" s="230">
        <f t="shared" si="154"/>
        <v>42.38</v>
      </c>
      <c r="L360" s="293">
        <f t="shared" si="154"/>
        <v>1.8000000000000002E-2</v>
      </c>
      <c r="M360" s="230">
        <f t="shared" si="154"/>
        <v>171.96</v>
      </c>
      <c r="N360" s="293">
        <f t="shared" si="154"/>
        <v>4.8000000000000001E-2</v>
      </c>
      <c r="O360" s="230">
        <f t="shared" si="154"/>
        <v>209.62</v>
      </c>
      <c r="P360" s="293">
        <f t="shared" si="154"/>
        <v>5.7999999999999996E-2</v>
      </c>
      <c r="Q360" s="230">
        <f t="shared" si="154"/>
        <v>37.56</v>
      </c>
      <c r="R360" s="293">
        <f t="shared" si="154"/>
        <v>1.6E-2</v>
      </c>
      <c r="S360" s="230">
        <f t="shared" si="154"/>
        <v>106.72</v>
      </c>
      <c r="T360" s="293">
        <f t="shared" si="154"/>
        <v>4.4000000000000004E-2</v>
      </c>
      <c r="U360" s="230">
        <f t="shared" si="154"/>
        <v>65.239999999999995</v>
      </c>
      <c r="V360" s="293">
        <f t="shared" si="154"/>
        <v>0.02</v>
      </c>
      <c r="W360" s="230">
        <f t="shared" si="154"/>
        <v>238.94</v>
      </c>
      <c r="X360" s="293">
        <f t="shared" si="154"/>
        <v>6.6000000000000003E-2</v>
      </c>
      <c r="Y360" s="230">
        <f t="shared" si="154"/>
        <v>125.76</v>
      </c>
      <c r="Z360" s="293">
        <f t="shared" si="154"/>
        <v>5.2000000000000005E-2</v>
      </c>
    </row>
    <row r="361" spans="1:26" x14ac:dyDescent="0.2">
      <c r="A361" s="699"/>
      <c r="B361" s="272" t="s">
        <v>378</v>
      </c>
      <c r="C361" s="355"/>
      <c r="D361" s="356"/>
      <c r="E361" s="355"/>
      <c r="F361" s="384"/>
      <c r="G361" s="230"/>
      <c r="H361" s="293"/>
      <c r="I361" s="230"/>
      <c r="J361" s="293"/>
      <c r="K361" s="230"/>
      <c r="L361" s="293"/>
      <c r="M361" s="230"/>
      <c r="N361" s="293"/>
      <c r="O361" s="230"/>
      <c r="P361" s="293"/>
      <c r="Q361" s="230"/>
      <c r="R361" s="293"/>
      <c r="S361" s="230"/>
      <c r="T361" s="293"/>
      <c r="U361" s="230"/>
      <c r="V361" s="293"/>
      <c r="W361" s="230"/>
      <c r="X361" s="293"/>
      <c r="Y361" s="230"/>
      <c r="Z361" s="293"/>
    </row>
    <row r="362" spans="1:26" x14ac:dyDescent="0.2">
      <c r="A362" s="699"/>
      <c r="B362" s="272" t="s">
        <v>379</v>
      </c>
      <c r="C362" s="355"/>
      <c r="D362" s="356"/>
      <c r="E362" s="355"/>
      <c r="F362" s="384"/>
      <c r="G362" s="230"/>
      <c r="H362" s="293"/>
      <c r="I362" s="230"/>
      <c r="J362" s="293"/>
      <c r="K362" s="230"/>
      <c r="L362" s="293"/>
      <c r="M362" s="230"/>
      <c r="N362" s="293"/>
      <c r="O362" s="230"/>
      <c r="P362" s="293"/>
      <c r="Q362" s="230"/>
      <c r="R362" s="293"/>
      <c r="S362" s="230"/>
      <c r="T362" s="293"/>
      <c r="U362" s="230"/>
      <c r="V362" s="293"/>
      <c r="W362" s="230"/>
      <c r="X362" s="293"/>
      <c r="Y362" s="230"/>
      <c r="Z362" s="293"/>
    </row>
    <row r="363" spans="1:26" x14ac:dyDescent="0.2">
      <c r="A363" s="699"/>
      <c r="B363" s="272" t="s">
        <v>380</v>
      </c>
      <c r="C363" s="355"/>
      <c r="D363" s="356"/>
      <c r="E363" s="355"/>
      <c r="F363" s="384"/>
      <c r="G363" s="230"/>
      <c r="H363" s="293"/>
      <c r="I363" s="230"/>
      <c r="J363" s="293"/>
      <c r="K363" s="230"/>
      <c r="L363" s="293"/>
      <c r="M363" s="230"/>
      <c r="N363" s="293"/>
      <c r="O363" s="230"/>
      <c r="P363" s="293"/>
      <c r="Q363" s="230"/>
      <c r="R363" s="293"/>
      <c r="S363" s="230"/>
      <c r="T363" s="293"/>
      <c r="U363" s="230"/>
      <c r="V363" s="293"/>
      <c r="W363" s="230"/>
      <c r="X363" s="293"/>
      <c r="Y363" s="230"/>
      <c r="Z363" s="293"/>
    </row>
    <row r="364" spans="1:26" x14ac:dyDescent="0.2">
      <c r="A364" s="699"/>
      <c r="B364" s="272" t="s">
        <v>381</v>
      </c>
      <c r="C364" s="355"/>
      <c r="D364" s="356"/>
      <c r="E364" s="355"/>
      <c r="F364" s="384"/>
      <c r="G364" s="230">
        <f t="shared" ref="G364:Z364" si="155">G14*G$354</f>
        <v>0</v>
      </c>
      <c r="H364" s="293">
        <f t="shared" si="155"/>
        <v>0</v>
      </c>
      <c r="I364" s="230">
        <f t="shared" si="155"/>
        <v>404.7</v>
      </c>
      <c r="J364" s="293">
        <f t="shared" si="155"/>
        <v>0.11199999999999999</v>
      </c>
      <c r="K364" s="230">
        <f t="shared" si="155"/>
        <v>0</v>
      </c>
      <c r="L364" s="293">
        <f t="shared" si="155"/>
        <v>0</v>
      </c>
      <c r="M364" s="230">
        <f t="shared" si="155"/>
        <v>520.34</v>
      </c>
      <c r="N364" s="293">
        <f t="shared" si="155"/>
        <v>0.14400000000000002</v>
      </c>
      <c r="O364" s="230">
        <f t="shared" si="155"/>
        <v>1030.26</v>
      </c>
      <c r="P364" s="293">
        <f t="shared" si="155"/>
        <v>0.28600000000000003</v>
      </c>
      <c r="Q364" s="230">
        <f t="shared" si="155"/>
        <v>0</v>
      </c>
      <c r="R364" s="293">
        <f t="shared" si="155"/>
        <v>0</v>
      </c>
      <c r="S364" s="230">
        <f t="shared" si="155"/>
        <v>456</v>
      </c>
      <c r="T364" s="293">
        <f t="shared" si="155"/>
        <v>0.19</v>
      </c>
      <c r="U364" s="230">
        <f t="shared" si="155"/>
        <v>0</v>
      </c>
      <c r="V364" s="293">
        <f t="shared" si="155"/>
        <v>0</v>
      </c>
      <c r="W364" s="230">
        <f t="shared" si="155"/>
        <v>1064.3800000000001</v>
      </c>
      <c r="X364" s="293">
        <f t="shared" si="155"/>
        <v>0.29600000000000004</v>
      </c>
      <c r="Y364" s="230">
        <f t="shared" si="155"/>
        <v>351.8</v>
      </c>
      <c r="Z364" s="293">
        <f t="shared" si="155"/>
        <v>0.14599999999999999</v>
      </c>
    </row>
    <row r="365" spans="1:26" s="20" customFormat="1" x14ac:dyDescent="0.2">
      <c r="A365" s="700"/>
      <c r="B365" s="274" t="s">
        <v>382</v>
      </c>
      <c r="C365" s="357"/>
      <c r="D365" s="358"/>
      <c r="E365" s="357"/>
      <c r="F365" s="385"/>
      <c r="G365" s="275">
        <f t="shared" ref="G365:Z365" si="156">SUM(G356:G364)</f>
        <v>823.16</v>
      </c>
      <c r="H365" s="294">
        <f t="shared" si="156"/>
        <v>2.7440000000000002</v>
      </c>
      <c r="I365" s="275">
        <f t="shared" si="156"/>
        <v>5935.16</v>
      </c>
      <c r="J365" s="294">
        <f t="shared" si="156"/>
        <v>1.6480000000000001</v>
      </c>
      <c r="K365" s="275">
        <f t="shared" si="156"/>
        <v>4844.26</v>
      </c>
      <c r="L365" s="294">
        <f t="shared" si="156"/>
        <v>2.0199999999999996</v>
      </c>
      <c r="M365" s="275">
        <f t="shared" si="156"/>
        <v>7123.54</v>
      </c>
      <c r="N365" s="294">
        <f t="shared" si="156"/>
        <v>1.9780000000000002</v>
      </c>
      <c r="O365" s="275">
        <f t="shared" si="156"/>
        <v>14723.68</v>
      </c>
      <c r="P365" s="294">
        <f t="shared" si="156"/>
        <v>4.0880000000000001</v>
      </c>
      <c r="Q365" s="275">
        <f t="shared" si="156"/>
        <v>8194.14</v>
      </c>
      <c r="R365" s="294">
        <f t="shared" si="156"/>
        <v>3.4160000000000004</v>
      </c>
      <c r="S365" s="275">
        <f t="shared" si="156"/>
        <v>7814.1200000000008</v>
      </c>
      <c r="T365" s="294">
        <f t="shared" si="156"/>
        <v>3.2560000000000002</v>
      </c>
      <c r="U365" s="275">
        <f t="shared" si="156"/>
        <v>8754.380000000001</v>
      </c>
      <c r="V365" s="294">
        <f t="shared" si="156"/>
        <v>2.734</v>
      </c>
      <c r="W365" s="275">
        <f t="shared" si="156"/>
        <v>11169.32</v>
      </c>
      <c r="X365" s="294">
        <f t="shared" si="156"/>
        <v>3.1020000000000003</v>
      </c>
      <c r="Y365" s="275">
        <f t="shared" si="156"/>
        <v>6593.14</v>
      </c>
      <c r="Z365" s="294">
        <f t="shared" si="156"/>
        <v>2.746</v>
      </c>
    </row>
    <row r="366" spans="1:26" s="227" customFormat="1" x14ac:dyDescent="0.2">
      <c r="A366" s="386"/>
      <c r="B366" s="195"/>
      <c r="C366" s="268"/>
      <c r="D366" s="268"/>
      <c r="E366" s="268"/>
      <c r="F366" s="268"/>
      <c r="G366" s="268"/>
      <c r="H366" s="268"/>
      <c r="I366" s="268"/>
      <c r="J366" s="268"/>
      <c r="K366" s="268"/>
      <c r="L366" s="268"/>
      <c r="M366" s="268"/>
      <c r="N366" s="268"/>
      <c r="O366" s="268"/>
      <c r="P366" s="268"/>
      <c r="Q366" s="268"/>
      <c r="R366" s="268"/>
      <c r="S366" s="268"/>
      <c r="T366" s="268"/>
      <c r="U366" s="268"/>
      <c r="V366" s="268"/>
      <c r="W366" s="268"/>
      <c r="X366" s="268"/>
      <c r="Y366" s="268"/>
      <c r="Z366" s="268"/>
    </row>
  </sheetData>
  <mergeCells count="14">
    <mergeCell ref="A5:A15"/>
    <mergeCell ref="A94:A121"/>
    <mergeCell ref="A264:A298"/>
    <mergeCell ref="A300:A337"/>
    <mergeCell ref="A123:A148"/>
    <mergeCell ref="A150:A173"/>
    <mergeCell ref="A175:A212"/>
    <mergeCell ref="A214:A237"/>
    <mergeCell ref="A239:A262"/>
    <mergeCell ref="A339:A351"/>
    <mergeCell ref="A353:A365"/>
    <mergeCell ref="A17:A42"/>
    <mergeCell ref="A44:A67"/>
    <mergeCell ref="A69:A92"/>
  </mergeCells>
  <pageMargins left="0.23622047244094491" right="0.23622047244094491" top="0.74803149606299213" bottom="0.74803149606299213" header="0.31496062992125984" footer="0.31496062992125984"/>
  <pageSetup paperSize="9" scale="24" fitToHeight="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19</vt:i4>
      </vt:variant>
      <vt:variant>
        <vt:lpstr>Navngitte områder</vt:lpstr>
      </vt:variant>
      <vt:variant>
        <vt:i4>2</vt:i4>
      </vt:variant>
    </vt:vector>
  </HeadingPairs>
  <TitlesOfParts>
    <vt:vector size="21" baseType="lpstr">
      <vt:lpstr>INNHOLD</vt:lpstr>
      <vt:lpstr>1 Gjennomsnittsbygg</vt:lpstr>
      <vt:lpstr>2 Bygningsmodeller</vt:lpstr>
      <vt:lpstr>3 Byggeår</vt:lpstr>
      <vt:lpstr>4 Bruk</vt:lpstr>
      <vt:lpstr>5 Klima</vt:lpstr>
      <vt:lpstr>6 Oversikt startpunkt</vt:lpstr>
      <vt:lpstr>7 Passivhusnivå</vt:lpstr>
      <vt:lpstr>8 Lav energibesparelse</vt:lpstr>
      <vt:lpstr>10 Høy energibesparelse</vt:lpstr>
      <vt:lpstr>9 Median energibesparelse</vt:lpstr>
      <vt:lpstr>11 Kostnader Bygg</vt:lpstr>
      <vt:lpstr>12 Kostnader VVS</vt:lpstr>
      <vt:lpstr>13 Kostnader Elektro</vt:lpstr>
      <vt:lpstr>14 Kostnader Automasjon</vt:lpstr>
      <vt:lpstr>15 Levetider og rente</vt:lpstr>
      <vt:lpstr>16 LCOE</vt:lpstr>
      <vt:lpstr>VBV</vt:lpstr>
      <vt:lpstr>Samlefigur</vt:lpstr>
      <vt:lpstr>'11 Kostnader Bygg'!Utskriftsområde</vt:lpstr>
      <vt:lpstr>'11 Kostnader Bygg'!Utskriftstitler</vt:lpstr>
    </vt:vector>
  </TitlesOfParts>
  <Company>Multiconsult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dc:creator>
  <cp:lastModifiedBy>Olav Karstad Isachsen</cp:lastModifiedBy>
  <cp:lastPrinted>2014-10-14T13:07:39Z</cp:lastPrinted>
  <dcterms:created xsi:type="dcterms:W3CDTF">2012-09-20T07:40:57Z</dcterms:created>
  <dcterms:modified xsi:type="dcterms:W3CDTF">2017-03-06T12:29:27Z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