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I:\Felles\Prosjekt\2016_Kostnadsrapport\Fase3\Regneark - MÅ IKKE FLYTTES\"/>
    </mc:Choice>
  </mc:AlternateContent>
  <bookViews>
    <workbookView xWindow="0" yWindow="0" windowWidth="28800" windowHeight="13365"/>
  </bookViews>
  <sheets>
    <sheet name="Kostnad 2016" sheetId="2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2" l="1"/>
  <c r="C14" i="2" l="1"/>
  <c r="C5" i="2"/>
  <c r="H11" i="2" l="1"/>
  <c r="C6" i="2" l="1"/>
  <c r="C4" i="2"/>
  <c r="C3" i="2"/>
  <c r="H41" i="2" l="1"/>
  <c r="C11" i="2"/>
  <c r="H17" i="2" l="1"/>
  <c r="H21" i="2" l="1"/>
  <c r="C13" i="2"/>
  <c r="C8" i="2"/>
  <c r="H19" i="2" l="1"/>
  <c r="H20" i="2"/>
  <c r="C9" i="2"/>
  <c r="C7" i="2"/>
  <c r="H7" i="2" s="1"/>
  <c r="H29" i="2" l="1"/>
  <c r="H49" i="2" s="1"/>
  <c r="H28" i="2"/>
  <c r="H48" i="2" s="1"/>
  <c r="H26" i="2"/>
  <c r="H45" i="2" s="1"/>
  <c r="H25" i="2"/>
  <c r="H44" i="2" s="1"/>
  <c r="H23" i="2"/>
  <c r="H39" i="2" s="1"/>
  <c r="H15" i="2"/>
  <c r="H38" i="2" s="1"/>
  <c r="H12" i="2"/>
  <c r="H10" i="2"/>
  <c r="H9" i="2"/>
  <c r="H18" i="2"/>
  <c r="H22" i="2" l="1"/>
  <c r="H40" i="2" s="1"/>
  <c r="H24" i="2"/>
  <c r="H27" i="2"/>
  <c r="H13" i="2"/>
  <c r="H14" i="2" s="1"/>
  <c r="F39" i="2"/>
  <c r="F38" i="2"/>
  <c r="F37" i="2"/>
  <c r="H37" i="2" l="1"/>
  <c r="H30" i="2" s="1"/>
  <c r="H32" i="2" s="1"/>
</calcChain>
</file>

<file path=xl/sharedStrings.xml><?xml version="1.0" encoding="utf-8"?>
<sst xmlns="http://schemas.openxmlformats.org/spreadsheetml/2006/main" count="121" uniqueCount="70">
  <si>
    <t>Faste driftskostnader</t>
  </si>
  <si>
    <t>%</t>
  </si>
  <si>
    <t>øre/kWh</t>
  </si>
  <si>
    <t>kWh</t>
  </si>
  <si>
    <t>Enhet</t>
  </si>
  <si>
    <t>Ytelse</t>
  </si>
  <si>
    <t xml:space="preserve">Fullasttimer </t>
  </si>
  <si>
    <t>timer/år</t>
  </si>
  <si>
    <t>Investeringskostnader</t>
  </si>
  <si>
    <t>Maskiner og utstyr</t>
  </si>
  <si>
    <t>Byggekostnader</t>
  </si>
  <si>
    <t>Nettilknytning</t>
  </si>
  <si>
    <t>Prosjektering og administrasjon</t>
  </si>
  <si>
    <t xml:space="preserve">   Byggetidsrenter     </t>
  </si>
  <si>
    <t xml:space="preserve">Sum investeringskostnader </t>
  </si>
  <si>
    <t xml:space="preserve">Spesifikt brenselforbruk  </t>
  </si>
  <si>
    <t>CO2-avgift</t>
  </si>
  <si>
    <t>NOx-avgift</t>
  </si>
  <si>
    <t>CO2-kvoter</t>
  </si>
  <si>
    <t>Brensels- og utslippskostnader</t>
  </si>
  <si>
    <t>Variable kostnader eks brensel</t>
  </si>
  <si>
    <t>Nåverdier</t>
  </si>
  <si>
    <t>øre</t>
  </si>
  <si>
    <t>Produsert elektrisitet</t>
  </si>
  <si>
    <t>Merknad</t>
  </si>
  <si>
    <t>Kilde</t>
  </si>
  <si>
    <t>Faktor for teknologiforbedring 2016 - 2035</t>
  </si>
  <si>
    <t>LCOE 2016</t>
  </si>
  <si>
    <t>LCOE 2035</t>
  </si>
  <si>
    <t>år</t>
  </si>
  <si>
    <t>Byggetid</t>
  </si>
  <si>
    <t>Levetid</t>
  </si>
  <si>
    <t>Brenselpris</t>
  </si>
  <si>
    <t>Brenselskostnad</t>
  </si>
  <si>
    <t>Degraderingsrate</t>
  </si>
  <si>
    <t>prosent/år</t>
  </si>
  <si>
    <t>enhet</t>
  </si>
  <si>
    <t>Diskonteringsrente</t>
  </si>
  <si>
    <t>prosent</t>
  </si>
  <si>
    <t>kWh/Sm3</t>
  </si>
  <si>
    <t>faktor</t>
  </si>
  <si>
    <t>Inflasjon 2013-2016</t>
  </si>
  <si>
    <t>Energiinhold, nedre brennverdi</t>
  </si>
  <si>
    <t>Energiinhold, øvre brennverdi</t>
  </si>
  <si>
    <t>øre/kWhbrensel</t>
  </si>
  <si>
    <t>kr/kWel</t>
  </si>
  <si>
    <t>kr/kWel /år</t>
  </si>
  <si>
    <t>øre/kWhel</t>
  </si>
  <si>
    <t>MWel</t>
  </si>
  <si>
    <t>kWhbrensel/kWhel</t>
  </si>
  <si>
    <t>Virkningsgrad (nedre brennverdi)</t>
  </si>
  <si>
    <t>Norconsult</t>
  </si>
  <si>
    <t>Norconsult sine vurderinger basert blant annet på ZEP, 2011</t>
  </si>
  <si>
    <t>Justert opp fra Kostnader i energisektoren 2015 vha infasjonsindeks</t>
  </si>
  <si>
    <t>Momentanvirkningsgrad basert på nedre brennverdi. Årsvirkningsgrad er ca 5 % lavere</t>
  </si>
  <si>
    <t>Sum brensels- og utslippskostnader</t>
  </si>
  <si>
    <t>Gassfyrt kombikraftverk med CCS</t>
  </si>
  <si>
    <t>Reduksjon i CO2-utslipp</t>
  </si>
  <si>
    <t>Transport av CO2</t>
  </si>
  <si>
    <r>
      <t>Investeringskostnader CO</t>
    </r>
    <r>
      <rPr>
        <sz val="8"/>
        <rFont val="Calibri"/>
        <family val="2"/>
        <scheme val="minor"/>
      </rPr>
      <t>2</t>
    </r>
    <r>
      <rPr>
        <sz val="10"/>
        <rFont val="Calibri"/>
        <family val="2"/>
        <scheme val="minor"/>
      </rPr>
      <t xml:space="preserve"> transport</t>
    </r>
  </si>
  <si>
    <r>
      <t>Driftskostnader CO</t>
    </r>
    <r>
      <rPr>
        <sz val="8"/>
        <rFont val="Calibri"/>
        <family val="2"/>
        <scheme val="minor"/>
      </rPr>
      <t>2</t>
    </r>
    <r>
      <rPr>
        <sz val="10"/>
        <rFont val="Calibri"/>
        <family val="2"/>
        <scheme val="minor"/>
      </rPr>
      <t xml:space="preserve"> transport</t>
    </r>
  </si>
  <si>
    <t>Lagring av CO2</t>
  </si>
  <si>
    <r>
      <t>Investeringskostnader CO</t>
    </r>
    <r>
      <rPr>
        <sz val="8"/>
        <rFont val="Calibri"/>
        <family val="2"/>
        <scheme val="minor"/>
      </rPr>
      <t>2</t>
    </r>
    <r>
      <rPr>
        <sz val="10"/>
        <rFont val="Calibri"/>
        <family val="2"/>
        <scheme val="minor"/>
      </rPr>
      <t xml:space="preserve"> lagring</t>
    </r>
  </si>
  <si>
    <r>
      <t>Driftskostnader CO</t>
    </r>
    <r>
      <rPr>
        <sz val="8"/>
        <rFont val="Calibri"/>
        <family val="2"/>
        <scheme val="minor"/>
      </rPr>
      <t>2</t>
    </r>
    <r>
      <rPr>
        <sz val="10"/>
        <rFont val="Calibri"/>
        <family val="2"/>
        <scheme val="minor"/>
      </rPr>
      <t xml:space="preserve"> lagring</t>
    </r>
  </si>
  <si>
    <t>Virkningsgrad (øvre brennverdi)</t>
  </si>
  <si>
    <t xml:space="preserve">Investeringskostnader </t>
  </si>
  <si>
    <t>Brensels- og utlipskostnader</t>
  </si>
  <si>
    <t>Driftskostnader</t>
  </si>
  <si>
    <t>Gassfyrt kombikraftverk er moden teknologi. Kostnadsreduksjon er knyttet til: 
- økning i virkningsgraden, 
- reduksjon av tap pga CO2 håndtering, 
- reduksjon i  kostnader knyttet til CO2 håndtering.
Som for alle fossilbasert teknologier er kostnadsutvikling sterkt avhengig av brensels- og utslippskostnader som er antatte konstante her.</t>
  </si>
  <si>
    <t xml:space="preserve">Elforsk 14:40 El från nya och framtida anläggningar, IEA ETSAP (2010) Gas-Fired Power, IEA ETSAP (2010) CO2 Capture and Storage, Nordic Energy technology perspectives 2016, s 231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</si>
</sst>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 * #,##0.00_ ;_ * \-#,##0.00_ ;_ * &quot;-&quot;??_ ;_ @_ "/>
    <numFmt numFmtId="164" formatCode="General_)"/>
    <numFmt numFmtId="165" formatCode="0.0"/>
    <numFmt numFmtId="166" formatCode="0.0\ %"/>
    <numFmt numFmtId="167" formatCode="#,##0.0"/>
    <numFmt numFmtId="168" formatCode="_ * #,##0_ ;_ * \-#,##0_ ;_ * &quot;-&quot;??_ ;_ @_ "/>
  </numFmts>
  <fonts count="1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name val="Helv"/>
    </font>
    <font>
      <sz val="1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Arial"/>
      <family val="2"/>
    </font>
    <font>
      <sz val="10"/>
      <color theme="1" tint="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9" tint="-0.249977111117893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6">
    <xf numFmtId="0" fontId="0" fillId="0" borderId="0"/>
    <xf numFmtId="164" fontId="3" fillId="0" borderId="0"/>
    <xf numFmtId="43" fontId="8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8" fillId="0" borderId="0"/>
    <xf numFmtId="43" fontId="10" fillId="0" borderId="0" applyFont="0" applyFill="0" applyBorder="0" applyAlignment="0" applyProtection="0"/>
  </cellStyleXfs>
  <cellXfs count="83">
    <xf numFmtId="0" fontId="0" fillId="0" borderId="0" xfId="0"/>
    <xf numFmtId="164" fontId="7" fillId="0" borderId="1" xfId="1" applyFont="1" applyFill="1" applyBorder="1"/>
    <xf numFmtId="164" fontId="7" fillId="0" borderId="10" xfId="1" applyFont="1" applyFill="1" applyBorder="1"/>
    <xf numFmtId="164" fontId="7" fillId="0" borderId="2" xfId="1" applyFont="1" applyFill="1" applyBorder="1"/>
    <xf numFmtId="164" fontId="7" fillId="0" borderId="13" xfId="1" applyFont="1" applyFill="1" applyBorder="1" applyAlignment="1">
      <alignment horizontal="right"/>
    </xf>
    <xf numFmtId="164" fontId="4" fillId="0" borderId="2" xfId="1" applyFont="1" applyFill="1" applyBorder="1" applyAlignment="1">
      <alignment horizontal="left" indent="1"/>
    </xf>
    <xf numFmtId="164" fontId="4" fillId="0" borderId="13" xfId="1" applyFont="1" applyFill="1" applyBorder="1" applyAlignment="1">
      <alignment horizontal="right"/>
    </xf>
    <xf numFmtId="164" fontId="4" fillId="0" borderId="2" xfId="1" applyFont="1" applyFill="1" applyBorder="1"/>
    <xf numFmtId="164" fontId="4" fillId="0" borderId="11" xfId="1" applyFont="1" applyFill="1" applyBorder="1" applyAlignment="1">
      <alignment horizontal="right"/>
    </xf>
    <xf numFmtId="164" fontId="4" fillId="0" borderId="14" xfId="1" applyFont="1" applyFill="1" applyBorder="1" applyAlignment="1">
      <alignment horizontal="right"/>
    </xf>
    <xf numFmtId="164" fontId="7" fillId="0" borderId="15" xfId="1" applyFont="1" applyFill="1" applyBorder="1"/>
    <xf numFmtId="164" fontId="7" fillId="0" borderId="16" xfId="1" applyFont="1" applyFill="1" applyBorder="1" applyAlignment="1">
      <alignment horizontal="right"/>
    </xf>
    <xf numFmtId="0" fontId="4" fillId="0" borderId="0" xfId="0" applyFont="1"/>
    <xf numFmtId="164" fontId="9" fillId="0" borderId="0" xfId="1" applyFont="1" applyFill="1" applyBorder="1"/>
    <xf numFmtId="165" fontId="9" fillId="0" borderId="0" xfId="1" applyNumberFormat="1" applyFont="1" applyFill="1" applyBorder="1"/>
    <xf numFmtId="0" fontId="4" fillId="0" borderId="13" xfId="0" applyFont="1" applyBorder="1" applyAlignment="1">
      <alignment horizontal="right"/>
    </xf>
    <xf numFmtId="0" fontId="4" fillId="0" borderId="0" xfId="0" applyFont="1" applyBorder="1"/>
    <xf numFmtId="0" fontId="5" fillId="2" borderId="17" xfId="0" applyFont="1" applyFill="1" applyBorder="1"/>
    <xf numFmtId="0" fontId="5" fillId="2" borderId="18" xfId="0" applyFont="1" applyFill="1" applyBorder="1"/>
    <xf numFmtId="2" fontId="4" fillId="0" borderId="0" xfId="0" applyNumberFormat="1" applyFont="1"/>
    <xf numFmtId="0" fontId="2" fillId="0" borderId="0" xfId="0" applyFont="1" applyBorder="1"/>
    <xf numFmtId="0" fontId="0" fillId="3" borderId="0" xfId="0" applyFill="1"/>
    <xf numFmtId="164" fontId="5" fillId="3" borderId="2" xfId="1" applyFont="1" applyFill="1" applyBorder="1"/>
    <xf numFmtId="164" fontId="5" fillId="3" borderId="6" xfId="1" applyFont="1" applyFill="1" applyBorder="1" applyAlignment="1">
      <alignment horizontal="right"/>
    </xf>
    <xf numFmtId="0" fontId="6" fillId="3" borderId="7" xfId="0" applyFont="1" applyFill="1" applyBorder="1" applyAlignment="1">
      <alignment horizontal="center"/>
    </xf>
    <xf numFmtId="164" fontId="5" fillId="3" borderId="7" xfId="1" applyFont="1" applyFill="1" applyBorder="1" applyAlignment="1">
      <alignment horizontal="right"/>
    </xf>
    <xf numFmtId="0" fontId="0" fillId="0" borderId="0" xfId="0" applyBorder="1"/>
    <xf numFmtId="2" fontId="4" fillId="0" borderId="0" xfId="0" applyNumberFormat="1" applyFont="1" applyBorder="1"/>
    <xf numFmtId="0" fontId="5" fillId="0" borderId="0" xfId="0" applyFont="1" applyFill="1" applyBorder="1"/>
    <xf numFmtId="166" fontId="2" fillId="0" borderId="0" xfId="3" applyNumberFormat="1" applyFont="1" applyBorder="1"/>
    <xf numFmtId="166" fontId="0" fillId="0" borderId="0" xfId="3" applyNumberFormat="1" applyFont="1" applyBorder="1"/>
    <xf numFmtId="164" fontId="5" fillId="3" borderId="0" xfId="1" applyFont="1" applyFill="1" applyBorder="1"/>
    <xf numFmtId="3" fontId="4" fillId="0" borderId="7" xfId="1" applyNumberFormat="1" applyFont="1" applyFill="1" applyBorder="1"/>
    <xf numFmtId="165" fontId="4" fillId="0" borderId="7" xfId="2" applyNumberFormat="1" applyFont="1" applyFill="1" applyBorder="1"/>
    <xf numFmtId="165" fontId="4" fillId="0" borderId="7" xfId="1" applyNumberFormat="1" applyFont="1" applyFill="1" applyBorder="1"/>
    <xf numFmtId="165" fontId="4" fillId="0" borderId="19" xfId="2" applyNumberFormat="1" applyFont="1" applyFill="1" applyBorder="1"/>
    <xf numFmtId="165" fontId="7" fillId="0" borderId="20" xfId="0" applyNumberFormat="1" applyFont="1" applyFill="1" applyBorder="1"/>
    <xf numFmtId="2" fontId="0" fillId="0" borderId="0" xfId="0" applyNumberFormat="1"/>
    <xf numFmtId="0" fontId="5" fillId="2" borderId="21" xfId="0" applyFont="1" applyFill="1" applyBorder="1"/>
    <xf numFmtId="4" fontId="0" fillId="0" borderId="0" xfId="0" applyNumberFormat="1"/>
    <xf numFmtId="0" fontId="1" fillId="3" borderId="3" xfId="0" applyFont="1" applyFill="1" applyBorder="1" applyAlignment="1"/>
    <xf numFmtId="0" fontId="1" fillId="3" borderId="4" xfId="0" applyFont="1" applyFill="1" applyBorder="1" applyAlignment="1"/>
    <xf numFmtId="0" fontId="1" fillId="3" borderId="5" xfId="0" applyFont="1" applyFill="1" applyBorder="1" applyAlignment="1"/>
    <xf numFmtId="164" fontId="7" fillId="0" borderId="0" xfId="1" applyFont="1" applyFill="1" applyBorder="1"/>
    <xf numFmtId="0" fontId="7" fillId="0" borderId="0" xfId="0" applyFont="1" applyBorder="1" applyAlignment="1">
      <alignment horizontal="right"/>
    </xf>
    <xf numFmtId="0" fontId="7" fillId="0" borderId="0" xfId="0" applyFont="1" applyBorder="1"/>
    <xf numFmtId="164" fontId="4" fillId="0" borderId="0" xfId="0" applyNumberFormat="1" applyFont="1" applyBorder="1"/>
    <xf numFmtId="0" fontId="4" fillId="0" borderId="0" xfId="0" applyFont="1" applyBorder="1" applyAlignment="1">
      <alignment horizontal="right"/>
    </xf>
    <xf numFmtId="164" fontId="4" fillId="0" borderId="0" xfId="1" applyFont="1" applyFill="1" applyBorder="1" applyAlignment="1">
      <alignment horizontal="right"/>
    </xf>
    <xf numFmtId="43" fontId="4" fillId="0" borderId="0" xfId="0" applyNumberFormat="1" applyFont="1"/>
    <xf numFmtId="0" fontId="0" fillId="0" borderId="0" xfId="0" applyAlignment="1">
      <alignment horizontal="center" wrapText="1"/>
    </xf>
    <xf numFmtId="164" fontId="5" fillId="3" borderId="13" xfId="1" applyFont="1" applyFill="1" applyBorder="1" applyAlignment="1">
      <alignment horizontal="right"/>
    </xf>
    <xf numFmtId="164" fontId="7" fillId="0" borderId="22" xfId="1" applyFont="1" applyFill="1" applyBorder="1"/>
    <xf numFmtId="3" fontId="4" fillId="0" borderId="12" xfId="1" applyNumberFormat="1" applyFont="1" applyFill="1" applyBorder="1"/>
    <xf numFmtId="9" fontId="4" fillId="0" borderId="12" xfId="1" applyNumberFormat="1" applyFont="1" applyFill="1" applyBorder="1"/>
    <xf numFmtId="9" fontId="9" fillId="0" borderId="12" xfId="1" applyNumberFormat="1" applyFont="1" applyFill="1" applyBorder="1"/>
    <xf numFmtId="164" fontId="7" fillId="0" borderId="7" xfId="1" applyFont="1" applyFill="1" applyBorder="1"/>
    <xf numFmtId="3" fontId="4" fillId="0" borderId="7" xfId="4" applyNumberFormat="1" applyFont="1" applyFill="1" applyBorder="1"/>
    <xf numFmtId="1" fontId="4" fillId="0" borderId="7" xfId="4" applyNumberFormat="1" applyFont="1" applyFill="1" applyBorder="1"/>
    <xf numFmtId="3" fontId="4" fillId="0" borderId="23" xfId="4" applyNumberFormat="1" applyFont="1" applyFill="1" applyBorder="1"/>
    <xf numFmtId="3" fontId="4" fillId="0" borderId="19" xfId="2" applyNumberFormat="1" applyFont="1" applyFill="1" applyBorder="1"/>
    <xf numFmtId="2" fontId="4" fillId="0" borderId="7" xfId="1" applyNumberFormat="1" applyFont="1" applyFill="1" applyBorder="1"/>
    <xf numFmtId="167" fontId="4" fillId="0" borderId="7" xfId="1" applyNumberFormat="1" applyFont="1" applyFill="1" applyBorder="1"/>
    <xf numFmtId="164" fontId="7" fillId="0" borderId="8" xfId="1" applyFont="1" applyFill="1" applyBorder="1" applyAlignment="1">
      <alignment horizontal="right"/>
    </xf>
    <xf numFmtId="9" fontId="0" fillId="0" borderId="0" xfId="3" applyFont="1"/>
    <xf numFmtId="164" fontId="4" fillId="0" borderId="6" xfId="1" applyFont="1" applyFill="1" applyBorder="1" applyAlignment="1">
      <alignment horizontal="right"/>
    </xf>
    <xf numFmtId="164" fontId="4" fillId="0" borderId="22" xfId="1" applyFont="1" applyFill="1" applyBorder="1" applyAlignment="1">
      <alignment horizontal="left" indent="1"/>
    </xf>
    <xf numFmtId="164" fontId="7" fillId="0" borderId="24" xfId="1" applyFont="1" applyFill="1" applyBorder="1"/>
    <xf numFmtId="167" fontId="4" fillId="0" borderId="25" xfId="1" applyNumberFormat="1" applyFont="1" applyFill="1" applyBorder="1"/>
    <xf numFmtId="164" fontId="4" fillId="0" borderId="0" xfId="1" applyFont="1" applyFill="1" applyBorder="1"/>
    <xf numFmtId="164" fontId="4" fillId="0" borderId="0" xfId="0" applyNumberFormat="1" applyFont="1" applyBorder="1" applyAlignment="1">
      <alignment horizontal="left" indent="1"/>
    </xf>
    <xf numFmtId="0" fontId="4" fillId="0" borderId="0" xfId="0" applyFont="1" applyBorder="1" applyAlignment="1">
      <alignment horizontal="left" indent="1"/>
    </xf>
    <xf numFmtId="168" fontId="4" fillId="0" borderId="0" xfId="5" applyNumberFormat="1" applyFont="1" applyBorder="1"/>
    <xf numFmtId="168" fontId="0" fillId="0" borderId="0" xfId="5" applyNumberFormat="1" applyFont="1" applyBorder="1"/>
    <xf numFmtId="168" fontId="9" fillId="0" borderId="0" xfId="5" applyNumberFormat="1" applyFont="1" applyFill="1" applyBorder="1"/>
    <xf numFmtId="4" fontId="4" fillId="0" borderId="9" xfId="1" applyNumberFormat="1" applyFont="1" applyFill="1" applyBorder="1"/>
    <xf numFmtId="0" fontId="0" fillId="0" borderId="0" xfId="0" applyBorder="1" applyAlignment="1">
      <alignment wrapText="1"/>
    </xf>
    <xf numFmtId="0" fontId="0" fillId="0" borderId="0" xfId="0" applyAlignment="1">
      <alignment wrapText="1"/>
    </xf>
    <xf numFmtId="165" fontId="9" fillId="0" borderId="0" xfId="1" applyNumberFormat="1" applyFont="1" applyFill="1" applyBorder="1" applyAlignment="1">
      <alignment wrapText="1"/>
    </xf>
    <xf numFmtId="0" fontId="4" fillId="0" borderId="0" xfId="0" applyFont="1" applyAlignment="1">
      <alignment wrapText="1"/>
    </xf>
    <xf numFmtId="0" fontId="0" fillId="0" borderId="0" xfId="0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0" xfId="0" applyBorder="1" applyAlignment="1">
      <alignment horizontal="left" wrapText="1"/>
    </xf>
  </cellXfs>
  <cellStyles count="6">
    <cellStyle name="Komma" xfId="5" builtinId="3"/>
    <cellStyle name="Normal" xfId="0" builtinId="0"/>
    <cellStyle name="Normal 2 2" xfId="4"/>
    <cellStyle name="Normal_Ark1" xfId="1"/>
    <cellStyle name="Prosent" xfId="3" builtinId="5"/>
    <cellStyle name="Tusenskille_Ark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orutsetning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rennverdier og priser"/>
      <sheetName val="CO2-avgift, grunnavgift"/>
      <sheetName val="CO2-kvoter"/>
      <sheetName val="byggetid levetid rente"/>
      <sheetName val="NOX avgift"/>
    </sheetNames>
    <sheetDataSet>
      <sheetData sheetId="0">
        <row r="7">
          <cell r="D7">
            <v>11.611111111111111</v>
          </cell>
          <cell r="E7">
            <v>10.3</v>
          </cell>
        </row>
        <row r="48">
          <cell r="D48">
            <v>19.347380258899673</v>
          </cell>
        </row>
      </sheetData>
      <sheetData sheetId="1"/>
      <sheetData sheetId="2">
        <row r="4">
          <cell r="E4">
            <v>0.96601941747572806</v>
          </cell>
        </row>
      </sheetData>
      <sheetData sheetId="3">
        <row r="1">
          <cell r="C1">
            <v>1.07973174366617</v>
          </cell>
        </row>
        <row r="6">
          <cell r="C6">
            <v>2.5</v>
          </cell>
          <cell r="D6">
            <v>0.06</v>
          </cell>
        </row>
        <row r="31">
          <cell r="C31">
            <v>25</v>
          </cell>
          <cell r="E31">
            <v>1E-3</v>
          </cell>
        </row>
      </sheetData>
      <sheetData sheetId="4">
        <row r="3">
          <cell r="H3">
            <v>0.33537864077669893</v>
          </cell>
        </row>
      </sheetData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"/>
  <sheetViews>
    <sheetView tabSelected="1" topLeftCell="A29" workbookViewId="0">
      <selection activeCell="H30" sqref="H30"/>
    </sheetView>
  </sheetViews>
  <sheetFormatPr baseColWidth="10" defaultRowHeight="15" x14ac:dyDescent="0.25"/>
  <cols>
    <col min="1" max="1" width="21.5703125" customWidth="1"/>
    <col min="6" max="6" width="34.28515625" customWidth="1"/>
    <col min="7" max="7" width="16.140625" customWidth="1"/>
    <col min="8" max="8" width="18.140625" bestFit="1" customWidth="1"/>
    <col min="9" max="9" width="28" customWidth="1"/>
    <col min="10" max="10" width="45.28515625" customWidth="1"/>
  </cols>
  <sheetData>
    <row r="1" spans="1:10" ht="15.75" thickBot="1" x14ac:dyDescent="0.3"/>
    <row r="2" spans="1:10" x14ac:dyDescent="0.25">
      <c r="A2" s="17"/>
      <c r="B2" s="17" t="s">
        <v>36</v>
      </c>
      <c r="C2" s="18"/>
      <c r="D2" s="28"/>
      <c r="F2" s="40" t="s">
        <v>56</v>
      </c>
      <c r="G2" s="41"/>
      <c r="H2" s="42"/>
      <c r="I2" s="21"/>
      <c r="J2" s="21"/>
    </row>
    <row r="3" spans="1:10" x14ac:dyDescent="0.25">
      <c r="A3" s="17" t="s">
        <v>30</v>
      </c>
      <c r="B3" t="s">
        <v>29</v>
      </c>
      <c r="C3">
        <f>'[1]byggetid levetid rente'!$C$6</f>
        <v>2.5</v>
      </c>
      <c r="E3" s="20"/>
      <c r="F3" s="22"/>
      <c r="G3" s="23" t="s">
        <v>4</v>
      </c>
      <c r="H3" s="24"/>
      <c r="I3" s="21"/>
      <c r="J3" s="21"/>
    </row>
    <row r="4" spans="1:10" x14ac:dyDescent="0.25">
      <c r="A4" s="17" t="s">
        <v>31</v>
      </c>
      <c r="B4" t="s">
        <v>29</v>
      </c>
      <c r="C4" s="26">
        <f>'[1]byggetid levetid rente'!$C$31</f>
        <v>25</v>
      </c>
      <c r="E4" s="20"/>
      <c r="F4" s="22" t="s">
        <v>5</v>
      </c>
      <c r="G4" s="51" t="s">
        <v>48</v>
      </c>
      <c r="H4" s="25">
        <v>385</v>
      </c>
      <c r="I4" s="31" t="s">
        <v>25</v>
      </c>
      <c r="J4" s="31" t="s">
        <v>24</v>
      </c>
    </row>
    <row r="5" spans="1:10" x14ac:dyDescent="0.25">
      <c r="A5" s="17" t="s">
        <v>37</v>
      </c>
      <c r="B5" t="s">
        <v>35</v>
      </c>
      <c r="C5" s="29">
        <f>'[1]byggetid levetid rente'!$D$6</f>
        <v>0.06</v>
      </c>
      <c r="E5" s="20"/>
      <c r="F5" s="2" t="s">
        <v>6</v>
      </c>
      <c r="G5" s="8" t="s">
        <v>7</v>
      </c>
      <c r="H5" s="53">
        <v>7500</v>
      </c>
      <c r="I5" t="s">
        <v>51</v>
      </c>
    </row>
    <row r="6" spans="1:10" ht="30" x14ac:dyDescent="0.25">
      <c r="A6" s="17" t="s">
        <v>34</v>
      </c>
      <c r="B6" s="12" t="s">
        <v>38</v>
      </c>
      <c r="C6" s="30">
        <f>'[1]byggetid levetid rente'!$E$31</f>
        <v>1E-3</v>
      </c>
      <c r="E6" s="12"/>
      <c r="F6" s="2" t="s">
        <v>50</v>
      </c>
      <c r="G6" s="8" t="s">
        <v>1</v>
      </c>
      <c r="H6" s="54">
        <f>57%-8%</f>
        <v>0.48999999999999994</v>
      </c>
      <c r="I6" t="s">
        <v>51</v>
      </c>
      <c r="J6" s="50" t="s">
        <v>54</v>
      </c>
    </row>
    <row r="7" spans="1:10" x14ac:dyDescent="0.25">
      <c r="A7" s="17" t="s">
        <v>42</v>
      </c>
      <c r="B7" s="12" t="s">
        <v>39</v>
      </c>
      <c r="C7" s="27">
        <f>'[1]Brennverdier og priser'!$E$7</f>
        <v>10.3</v>
      </c>
      <c r="D7" s="12"/>
      <c r="E7" s="12"/>
      <c r="F7" s="2" t="s">
        <v>64</v>
      </c>
      <c r="G7" s="8" t="s">
        <v>1</v>
      </c>
      <c r="H7" s="55">
        <f>H6/$C$8*$C$7</f>
        <v>0.4346698564593301</v>
      </c>
    </row>
    <row r="8" spans="1:10" x14ac:dyDescent="0.25">
      <c r="A8" s="17" t="s">
        <v>43</v>
      </c>
      <c r="B8" s="12" t="s">
        <v>39</v>
      </c>
      <c r="C8" s="27">
        <f>'[1]Brennverdier og priser'!$D$7</f>
        <v>11.611111111111111</v>
      </c>
      <c r="E8" s="12"/>
      <c r="F8" s="3" t="s">
        <v>8</v>
      </c>
      <c r="G8" s="4"/>
      <c r="H8" s="56"/>
    </row>
    <row r="9" spans="1:10" x14ac:dyDescent="0.25">
      <c r="A9" s="17" t="s">
        <v>32</v>
      </c>
      <c r="B9" s="12" t="s">
        <v>44</v>
      </c>
      <c r="C9" s="27">
        <f>'[1]Brennverdier og priser'!$D$48</f>
        <v>19.347380258899673</v>
      </c>
      <c r="E9" s="12"/>
      <c r="F9" s="5" t="s">
        <v>9</v>
      </c>
      <c r="G9" s="6" t="s">
        <v>45</v>
      </c>
      <c r="H9" s="57">
        <f>7760*C14</f>
        <v>8378.7183308494787</v>
      </c>
      <c r="I9" s="80" t="s">
        <v>52</v>
      </c>
      <c r="J9" s="80" t="s">
        <v>53</v>
      </c>
    </row>
    <row r="10" spans="1:10" x14ac:dyDescent="0.25">
      <c r="A10" s="38" t="s">
        <v>57</v>
      </c>
      <c r="B10" s="12" t="s">
        <v>1</v>
      </c>
      <c r="C10" s="64">
        <v>0.85</v>
      </c>
      <c r="D10" s="12"/>
      <c r="E10" s="12"/>
      <c r="F10" s="5" t="s">
        <v>10</v>
      </c>
      <c r="G10" s="6" t="s">
        <v>45</v>
      </c>
      <c r="H10" s="32">
        <f>2500*C14</f>
        <v>2699.3293591654251</v>
      </c>
      <c r="I10" s="80"/>
      <c r="J10" s="80"/>
    </row>
    <row r="11" spans="1:10" x14ac:dyDescent="0.25">
      <c r="A11" s="38" t="s">
        <v>18</v>
      </c>
      <c r="B11" s="12" t="s">
        <v>44</v>
      </c>
      <c r="C11" s="49">
        <f>'[1]CO2-kvoter'!$E$4*(1-C10)</f>
        <v>0.14490291262135924</v>
      </c>
      <c r="E11" s="19"/>
      <c r="F11" s="5" t="s">
        <v>11</v>
      </c>
      <c r="G11" s="6" t="s">
        <v>45</v>
      </c>
      <c r="H11" s="58">
        <f>140*C14</f>
        <v>151.1624441132638</v>
      </c>
      <c r="I11" s="80"/>
      <c r="J11" s="80"/>
    </row>
    <row r="12" spans="1:10" x14ac:dyDescent="0.25">
      <c r="A12" s="38" t="s">
        <v>16</v>
      </c>
      <c r="B12" s="12" t="s">
        <v>44</v>
      </c>
      <c r="C12" s="39">
        <v>0</v>
      </c>
      <c r="D12" s="19"/>
      <c r="E12" s="19"/>
      <c r="F12" s="5" t="s">
        <v>12</v>
      </c>
      <c r="G12" s="6" t="s">
        <v>45</v>
      </c>
      <c r="H12" s="58">
        <f>1800*C14</f>
        <v>1943.5171385991059</v>
      </c>
      <c r="I12" s="80"/>
      <c r="J12" s="80"/>
    </row>
    <row r="13" spans="1:10" x14ac:dyDescent="0.25">
      <c r="A13" s="38" t="s">
        <v>17</v>
      </c>
      <c r="B13" s="12" t="s">
        <v>44</v>
      </c>
      <c r="C13" s="37">
        <f>'[1]NOX avgift'!$H$3</f>
        <v>0.33537864077669893</v>
      </c>
      <c r="D13" s="19"/>
      <c r="E13" s="19"/>
      <c r="F13" s="7" t="s">
        <v>13</v>
      </c>
      <c r="G13" s="6" t="s">
        <v>45</v>
      </c>
      <c r="H13" s="59">
        <f>(H9+H10+H11+H12)*(((1+($C$5))*((1+$C$5)^($C$3)-1))/($C$5*$C$3))-(H9+H10+H11+H12)</f>
        <v>1424.9398204168338</v>
      </c>
      <c r="I13" s="80"/>
      <c r="J13" s="80"/>
    </row>
    <row r="14" spans="1:10" x14ac:dyDescent="0.25">
      <c r="A14" s="17" t="s">
        <v>41</v>
      </c>
      <c r="B14" s="12" t="s">
        <v>40</v>
      </c>
      <c r="C14" s="37">
        <f>'[1]byggetid levetid rente'!$C$1</f>
        <v>1.07973174366617</v>
      </c>
      <c r="F14" s="52" t="s">
        <v>14</v>
      </c>
      <c r="G14" s="6" t="s">
        <v>45</v>
      </c>
      <c r="H14" s="60">
        <f>SUM(H9:H13)</f>
        <v>14597.667093144108</v>
      </c>
    </row>
    <row r="15" spans="1:10" x14ac:dyDescent="0.25">
      <c r="F15" s="2" t="s">
        <v>0</v>
      </c>
      <c r="G15" s="8" t="s">
        <v>46</v>
      </c>
      <c r="H15" s="53">
        <f>360*C14</f>
        <v>388.70342771982121</v>
      </c>
      <c r="I15" t="s">
        <v>52</v>
      </c>
      <c r="J15" t="s">
        <v>53</v>
      </c>
    </row>
    <row r="16" spans="1:10" x14ac:dyDescent="0.25">
      <c r="F16" s="3" t="s">
        <v>19</v>
      </c>
      <c r="G16" s="6"/>
      <c r="H16" s="32"/>
    </row>
    <row r="17" spans="6:10" x14ac:dyDescent="0.25">
      <c r="F17" s="5" t="s">
        <v>15</v>
      </c>
      <c r="G17" s="6" t="s">
        <v>49</v>
      </c>
      <c r="H17" s="33">
        <f>1/H6</f>
        <v>2.0408163265306127</v>
      </c>
    </row>
    <row r="18" spans="6:10" x14ac:dyDescent="0.25">
      <c r="F18" s="5" t="s">
        <v>33</v>
      </c>
      <c r="G18" s="15" t="s">
        <v>44</v>
      </c>
      <c r="H18" s="34">
        <f>$C$9</f>
        <v>19.347380258899673</v>
      </c>
    </row>
    <row r="19" spans="6:10" x14ac:dyDescent="0.25">
      <c r="F19" s="5" t="s">
        <v>16</v>
      </c>
      <c r="G19" s="15" t="s">
        <v>44</v>
      </c>
      <c r="H19" s="61">
        <f>$C$12</f>
        <v>0</v>
      </c>
    </row>
    <row r="20" spans="6:10" x14ac:dyDescent="0.25">
      <c r="F20" s="5" t="s">
        <v>17</v>
      </c>
      <c r="G20" s="15" t="s">
        <v>44</v>
      </c>
      <c r="H20" s="61">
        <f>$C$13</f>
        <v>0.33537864077669893</v>
      </c>
    </row>
    <row r="21" spans="6:10" x14ac:dyDescent="0.25">
      <c r="F21" s="5" t="s">
        <v>18</v>
      </c>
      <c r="G21" s="15" t="s">
        <v>44</v>
      </c>
      <c r="H21" s="61">
        <f>$C$11</f>
        <v>0.14490291262135924</v>
      </c>
    </row>
    <row r="22" spans="6:10" x14ac:dyDescent="0.25">
      <c r="F22" s="3" t="s">
        <v>55</v>
      </c>
      <c r="G22" s="9" t="s">
        <v>47</v>
      </c>
      <c r="H22" s="35">
        <f>SUM(H18:H21)*H17</f>
        <v>40.464615943464764</v>
      </c>
    </row>
    <row r="23" spans="6:10" x14ac:dyDescent="0.25">
      <c r="F23" s="2" t="s">
        <v>20</v>
      </c>
      <c r="G23" s="65" t="s">
        <v>47</v>
      </c>
      <c r="H23" s="62">
        <f>2.5*C14</f>
        <v>2.699329359165425</v>
      </c>
      <c r="I23" t="s">
        <v>52</v>
      </c>
      <c r="J23" t="s">
        <v>53</v>
      </c>
    </row>
    <row r="24" spans="6:10" x14ac:dyDescent="0.25">
      <c r="F24" s="67" t="s">
        <v>58</v>
      </c>
      <c r="G24" s="65" t="s">
        <v>47</v>
      </c>
      <c r="H24" s="68">
        <f>H25+H26</f>
        <v>5.1827123695976152</v>
      </c>
    </row>
    <row r="25" spans="6:10" x14ac:dyDescent="0.25">
      <c r="F25" s="5" t="s">
        <v>59</v>
      </c>
      <c r="G25" s="6" t="s">
        <v>47</v>
      </c>
      <c r="H25" s="62">
        <f>4.3*C14</f>
        <v>4.6428464977645305</v>
      </c>
      <c r="I25" t="s">
        <v>52</v>
      </c>
      <c r="J25" t="s">
        <v>53</v>
      </c>
    </row>
    <row r="26" spans="6:10" x14ac:dyDescent="0.25">
      <c r="F26" s="66" t="s">
        <v>60</v>
      </c>
      <c r="G26" s="6" t="s">
        <v>47</v>
      </c>
      <c r="H26" s="62">
        <f>0.5*C14</f>
        <v>0.53986587183308499</v>
      </c>
      <c r="I26" t="s">
        <v>52</v>
      </c>
      <c r="J26" t="s">
        <v>53</v>
      </c>
    </row>
    <row r="27" spans="6:10" x14ac:dyDescent="0.25">
      <c r="F27" s="67" t="s">
        <v>61</v>
      </c>
      <c r="G27" s="65" t="s">
        <v>47</v>
      </c>
      <c r="H27" s="68">
        <f>H28+H29</f>
        <v>3.0232488822652757</v>
      </c>
    </row>
    <row r="28" spans="6:10" x14ac:dyDescent="0.25">
      <c r="F28" s="5" t="s">
        <v>62</v>
      </c>
      <c r="G28" s="6" t="s">
        <v>47</v>
      </c>
      <c r="H28" s="62">
        <f>1.1*C14</f>
        <v>1.187704918032787</v>
      </c>
      <c r="I28" t="s">
        <v>52</v>
      </c>
      <c r="J28" t="s">
        <v>53</v>
      </c>
    </row>
    <row r="29" spans="6:10" x14ac:dyDescent="0.25">
      <c r="F29" s="66" t="s">
        <v>63</v>
      </c>
      <c r="G29" s="6" t="s">
        <v>47</v>
      </c>
      <c r="H29" s="62">
        <f>1.7*C14</f>
        <v>1.8355439642324889</v>
      </c>
      <c r="I29" t="s">
        <v>52</v>
      </c>
      <c r="J29" t="s">
        <v>53</v>
      </c>
    </row>
    <row r="30" spans="6:10" ht="15.75" thickBot="1" x14ac:dyDescent="0.3">
      <c r="F30" s="10" t="s">
        <v>27</v>
      </c>
      <c r="G30" s="11" t="s">
        <v>47</v>
      </c>
      <c r="H30" s="36">
        <f>(SUM(H37:H40)+SUM(H44:H49))/H41</f>
        <v>72.46177982345904</v>
      </c>
    </row>
    <row r="31" spans="6:10" ht="15" customHeight="1" x14ac:dyDescent="0.25">
      <c r="F31" s="1" t="s">
        <v>26</v>
      </c>
      <c r="G31" s="63"/>
      <c r="H31" s="75">
        <v>0.95</v>
      </c>
      <c r="I31" s="81" t="s">
        <v>69</v>
      </c>
      <c r="J31" s="82" t="s">
        <v>68</v>
      </c>
    </row>
    <row r="32" spans="6:10" ht="129.75" customHeight="1" thickBot="1" x14ac:dyDescent="0.3">
      <c r="F32" s="10" t="s">
        <v>28</v>
      </c>
      <c r="G32" s="11" t="s">
        <v>2</v>
      </c>
      <c r="H32" s="36">
        <f>H30*H31</f>
        <v>68.83869083228609</v>
      </c>
      <c r="I32" s="81"/>
      <c r="J32" s="82"/>
    </row>
    <row r="33" spans="6:10" x14ac:dyDescent="0.25">
      <c r="H33" s="14"/>
    </row>
    <row r="34" spans="6:10" x14ac:dyDescent="0.25">
      <c r="F34" s="13"/>
      <c r="G34" s="79"/>
      <c r="H34" s="78"/>
      <c r="I34" s="76"/>
      <c r="J34" s="77"/>
    </row>
    <row r="35" spans="6:10" x14ac:dyDescent="0.25">
      <c r="F35" s="12"/>
      <c r="G35" s="12"/>
    </row>
    <row r="36" spans="6:10" x14ac:dyDescent="0.25">
      <c r="F36" s="43" t="s">
        <v>21</v>
      </c>
      <c r="G36" s="44"/>
      <c r="H36" s="45"/>
    </row>
    <row r="37" spans="6:10" x14ac:dyDescent="0.25">
      <c r="F37" s="46" t="str">
        <f>F8</f>
        <v>Investeringskostnader</v>
      </c>
      <c r="G37" s="47" t="s">
        <v>22</v>
      </c>
      <c r="H37" s="72">
        <f>H14*100*1000*H4</f>
        <v>562010183086.04822</v>
      </c>
    </row>
    <row r="38" spans="6:10" x14ac:dyDescent="0.25">
      <c r="F38" s="46" t="str">
        <f>F15</f>
        <v>Faste driftskostnader</v>
      </c>
      <c r="G38" s="47" t="s">
        <v>22</v>
      </c>
      <c r="H38" s="72">
        <f>-PV($C$5,$C$4,H15*100*1000*H4)</f>
        <v>191303972724.56537</v>
      </c>
    </row>
    <row r="39" spans="6:10" x14ac:dyDescent="0.25">
      <c r="F39" s="46" t="str">
        <f>F23</f>
        <v>Variable kostnader eks brensel</v>
      </c>
      <c r="G39" s="47" t="s">
        <v>22</v>
      </c>
      <c r="H39" s="72">
        <f>-PV($C$5,$C$4,H23*1000*H4*H5)</f>
        <v>99637485794.044464</v>
      </c>
    </row>
    <row r="40" spans="6:10" x14ac:dyDescent="0.25">
      <c r="F40" s="46" t="s">
        <v>66</v>
      </c>
      <c r="G40" s="47" t="s">
        <v>22</v>
      </c>
      <c r="H40" s="72">
        <f>-PV($C$5,$C$4,H4*H22*1000*H5)</f>
        <v>1493627512529.6233</v>
      </c>
    </row>
    <row r="41" spans="6:10" x14ac:dyDescent="0.25">
      <c r="F41" s="46" t="s">
        <v>23</v>
      </c>
      <c r="G41" s="47" t="s">
        <v>3</v>
      </c>
      <c r="H41" s="72">
        <f>-PV($C$5+$C$6,$C$4,H4*H5*1000)</f>
        <v>36563787384.234589</v>
      </c>
    </row>
    <row r="42" spans="6:10" x14ac:dyDescent="0.25">
      <c r="F42" s="26"/>
      <c r="G42" s="48"/>
      <c r="H42" s="73"/>
    </row>
    <row r="43" spans="6:10" x14ac:dyDescent="0.25">
      <c r="F43" s="69" t="s">
        <v>58</v>
      </c>
      <c r="G43" s="47"/>
      <c r="H43" s="74"/>
    </row>
    <row r="44" spans="6:10" x14ac:dyDescent="0.25">
      <c r="F44" s="70" t="s">
        <v>65</v>
      </c>
      <c r="G44" s="47" t="s">
        <v>22</v>
      </c>
      <c r="H44" s="74">
        <f>-PV($C$5,$C$4,H25*1000*H4*H5)</f>
        <v>171376475565.75647</v>
      </c>
    </row>
    <row r="45" spans="6:10" x14ac:dyDescent="0.25">
      <c r="F45" s="71" t="s">
        <v>67</v>
      </c>
      <c r="G45" s="47" t="s">
        <v>22</v>
      </c>
      <c r="H45" s="72">
        <f>-PV($C$5,$C$4,H26*1000*H4*H5)</f>
        <v>19927497158.808891</v>
      </c>
    </row>
    <row r="46" spans="6:10" x14ac:dyDescent="0.25">
      <c r="F46" s="16"/>
      <c r="G46" s="47"/>
      <c r="H46" s="72"/>
    </row>
    <row r="47" spans="6:10" x14ac:dyDescent="0.25">
      <c r="F47" s="69" t="s">
        <v>61</v>
      </c>
      <c r="G47" s="47"/>
      <c r="H47" s="73"/>
    </row>
    <row r="48" spans="6:10" x14ac:dyDescent="0.25">
      <c r="F48" s="70" t="s">
        <v>65</v>
      </c>
      <c r="G48" s="47" t="s">
        <v>22</v>
      </c>
      <c r="H48" s="73">
        <f>-PV($C$5,$C$4,H28*1000*H4*H5)</f>
        <v>43840493749.379555</v>
      </c>
    </row>
    <row r="49" spans="6:8" x14ac:dyDescent="0.25">
      <c r="F49" s="71" t="s">
        <v>67</v>
      </c>
      <c r="G49" s="47" t="s">
        <v>22</v>
      </c>
      <c r="H49" s="73">
        <f>-PV($C$5,$C$4,H29*1000*H4*H5)</f>
        <v>67753490339.950218</v>
      </c>
    </row>
  </sheetData>
  <mergeCells count="4">
    <mergeCell ref="I9:I13"/>
    <mergeCell ref="J9:J13"/>
    <mergeCell ref="I31:I32"/>
    <mergeCell ref="J31:J3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Kostnad 2016</vt:lpstr>
    </vt:vector>
  </TitlesOfParts>
  <Company>NVE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Olav Karstad Isachsen</dc:creator>
  <cp:lastModifiedBy>Olav Karstad Isachsen</cp:lastModifiedBy>
  <dcterms:created xsi:type="dcterms:W3CDTF">2016-11-15T12:54:30Z</dcterms:created>
  <dcterms:modified xsi:type="dcterms:W3CDTF">2017-02-24T19:57:46Z</dcterms:modified>
</cp:coreProperties>
</file>