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13" i="2"/>
  <c r="C10" i="2" l="1"/>
  <c r="C6" i="2" l="1"/>
  <c r="C4" i="2"/>
  <c r="C3" i="2"/>
  <c r="I35" i="2" l="1"/>
  <c r="H35" i="2"/>
  <c r="C12" i="2"/>
  <c r="I21" i="2" s="1"/>
  <c r="I17" i="2"/>
  <c r="H17" i="2"/>
  <c r="C11" i="2"/>
  <c r="H20" i="2" s="1"/>
  <c r="H19" i="2"/>
  <c r="C8" i="2"/>
  <c r="I19" i="2" l="1"/>
  <c r="I20" i="2"/>
  <c r="H21" i="2"/>
  <c r="C9" i="2"/>
  <c r="C7" i="2"/>
  <c r="I7" i="2" s="1"/>
  <c r="H7" i="2" l="1"/>
  <c r="I23" i="2"/>
  <c r="I33" i="2" s="1"/>
  <c r="I10" i="2"/>
  <c r="H10" i="2"/>
  <c r="H23" i="2"/>
  <c r="H33" i="2" s="1"/>
  <c r="I9" i="2"/>
  <c r="H9" i="2"/>
  <c r="I15" i="2"/>
  <c r="I32" i="2" s="1"/>
  <c r="H11" i="2"/>
  <c r="H15" i="2"/>
  <c r="H32" i="2" s="1"/>
  <c r="I12" i="2"/>
  <c r="H12" i="2"/>
  <c r="I11" i="2"/>
  <c r="I18" i="2"/>
  <c r="I22" i="2" s="1"/>
  <c r="I34" i="2" s="1"/>
  <c r="H18" i="2"/>
  <c r="H22" i="2" s="1"/>
  <c r="H34" i="2" s="1"/>
  <c r="I13" i="2" l="1"/>
  <c r="I14" i="2" s="1"/>
  <c r="H13" i="2"/>
  <c r="F34" i="2"/>
  <c r="F33" i="2"/>
  <c r="F32" i="2"/>
  <c r="F31" i="2"/>
  <c r="I31" i="2" l="1"/>
  <c r="I24" i="2" s="1"/>
  <c r="H14" i="2"/>
  <c r="H31" i="2" s="1"/>
  <c r="H24" i="2" s="1"/>
  <c r="H26" i="2" s="1"/>
  <c r="I26" i="2" l="1"/>
</calcChain>
</file>

<file path=xl/sharedStrings.xml><?xml version="1.0" encoding="utf-8"?>
<sst xmlns="http://schemas.openxmlformats.org/spreadsheetml/2006/main" count="88" uniqueCount="60">
  <si>
    <t>Faste driftskostnader</t>
  </si>
  <si>
    <t>%</t>
  </si>
  <si>
    <t>øre/kWh</t>
  </si>
  <si>
    <t>kWh</t>
  </si>
  <si>
    <t>Enhet</t>
  </si>
  <si>
    <t>Ytelse</t>
  </si>
  <si>
    <t xml:space="preserve">Fullasttimer </t>
  </si>
  <si>
    <t>timer/år</t>
  </si>
  <si>
    <t>Investeringskostnader</t>
  </si>
  <si>
    <t>Maskiner og utstyr</t>
  </si>
  <si>
    <t>Byggekostnader</t>
  </si>
  <si>
    <t>Nettilknytning</t>
  </si>
  <si>
    <t>Prosjektering og administrasjon</t>
  </si>
  <si>
    <t xml:space="preserve">   Byggetidsrenter     </t>
  </si>
  <si>
    <t xml:space="preserve">Sum investeringskostnader </t>
  </si>
  <si>
    <t xml:space="preserve">Spesifikt brenselforbruk  </t>
  </si>
  <si>
    <t>CO2-avgift</t>
  </si>
  <si>
    <t>NOx-avgift</t>
  </si>
  <si>
    <t>CO2-kvoter</t>
  </si>
  <si>
    <t>Brensels- og utslippskostnader</t>
  </si>
  <si>
    <t>Variable kostnader eks brensel</t>
  </si>
  <si>
    <t>Nåverdier</t>
  </si>
  <si>
    <t>øre</t>
  </si>
  <si>
    <t>Produsert elektrisitet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</si>
  <si>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</si>
  <si>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</si>
  <si>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</si>
  <si>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</si>
  <si>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</si>
  <si>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</si>
  <si>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</si>
  <si>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</si>
  <si>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Brenselpris</t>
  </si>
  <si>
    <t>Brenselskostnad</t>
  </si>
  <si>
    <t>Degraderingsrate</t>
  </si>
  <si>
    <t>prosent/år</t>
  </si>
  <si>
    <t>enhet</t>
  </si>
  <si>
    <t>Diskonteringsrente</t>
  </si>
  <si>
    <t>prosent</t>
  </si>
  <si>
    <t>Gassfyrt kombikraftverk uten CCS</t>
  </si>
  <si>
    <t>kWh/Sm3</t>
  </si>
  <si>
    <t>faktor</t>
  </si>
  <si>
    <t>Inflasjon 2013-2016</t>
  </si>
  <si>
    <t>Energiinhold, nedre brennverdi</t>
  </si>
  <si>
    <t>Energiinhold, øvre brennverdi</t>
  </si>
  <si>
    <t>øre/kWhbrensel</t>
  </si>
  <si>
    <t>kr/kWel</t>
  </si>
  <si>
    <t>kr/kWel /år</t>
  </si>
  <si>
    <t>øre/kWhel</t>
  </si>
  <si>
    <t>MWel</t>
  </si>
  <si>
    <t>kWhbrensel/kWhel</t>
  </si>
  <si>
    <t>Virkningsgrad (nedre brennverdi)</t>
  </si>
  <si>
    <t>Norconsult</t>
  </si>
  <si>
    <t>Norconsult sine vurderinger basert blant annet på ZEP, 2011</t>
  </si>
  <si>
    <t>Justert opp fra Kostnader i energisektoren 2015 vha infasjonsindeks</t>
  </si>
  <si>
    <t>Momentanvirkningsgrad basert på nedre brennverdi. Årsvirkningsgrad er ca 5 % lavere</t>
  </si>
  <si>
    <t>Sum brensels- og utslippskostnader</t>
  </si>
  <si>
    <t>Virkningsgrad (øvre  brennverdi)</t>
  </si>
  <si>
    <t xml:space="preserve">Kostnadsutvikling er sterkt avhengig av brenselspris og utslippskostnader. Brensels- og utslipskostnader er antatt konstant her. Teknologi er moden. Utviklingen er knyttet til økt fleksibiliteten, forbedring av virkningsgraden også for dellast. Virkningsgraden ventes å øke til over 60 %. </t>
  </si>
  <si>
    <t>Elforsk 14:40 El från nya och framtida anläggningar, IEA ETSAP (2010) Gas-Fired Power. Nordic Energy technology perspectives 2016, s 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</si>
</sst>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0" borderId="0"/>
  </cellStyleXfs>
  <cellXfs count="92">
    <xf numFmtId="0" fontId="0" fillId="0" borderId="0" xfId="0"/>
    <xf numFmtId="164" fontId="7" fillId="0" borderId="1" xfId="1" applyFont="1" applyFill="1" applyBorder="1"/>
    <xf numFmtId="164" fontId="7" fillId="0" borderId="13" xfId="1" applyFont="1" applyFill="1" applyBorder="1"/>
    <xf numFmtId="164" fontId="7" fillId="0" borderId="2" xfId="1" applyFont="1" applyFill="1" applyBorder="1"/>
    <xf numFmtId="164" fontId="7" fillId="0" borderId="16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left" indent="1"/>
    </xf>
    <xf numFmtId="164" fontId="4" fillId="0" borderId="16" xfId="1" applyFont="1" applyFill="1" applyBorder="1" applyAlignment="1">
      <alignment horizontal="right"/>
    </xf>
    <xf numFmtId="3" fontId="4" fillId="0" borderId="8" xfId="1" applyNumberFormat="1" applyFont="1" applyFill="1" applyBorder="1"/>
    <xf numFmtId="164" fontId="4" fillId="0" borderId="2" xfId="1" applyFont="1" applyFill="1" applyBorder="1"/>
    <xf numFmtId="164" fontId="4" fillId="0" borderId="14" xfId="1" applyFont="1" applyFill="1" applyBorder="1" applyAlignment="1">
      <alignment horizontal="right"/>
    </xf>
    <xf numFmtId="165" fontId="4" fillId="0" borderId="8" xfId="2" applyNumberFormat="1" applyFont="1" applyFill="1" applyBorder="1"/>
    <xf numFmtId="165" fontId="4" fillId="0" borderId="8" xfId="1" applyNumberFormat="1" applyFont="1" applyFill="1" applyBorder="1"/>
    <xf numFmtId="164" fontId="4" fillId="0" borderId="17" xfId="1" applyFont="1" applyFill="1" applyBorder="1" applyAlignment="1">
      <alignment horizontal="right"/>
    </xf>
    <xf numFmtId="165" fontId="4" fillId="0" borderId="18" xfId="2" applyNumberFormat="1" applyFont="1" applyFill="1" applyBorder="1"/>
    <xf numFmtId="164" fontId="7" fillId="0" borderId="19" xfId="1" applyFont="1" applyFill="1" applyBorder="1"/>
    <xf numFmtId="164" fontId="7" fillId="0" borderId="20" xfId="1" applyFont="1" applyFill="1" applyBorder="1" applyAlignment="1">
      <alignment horizontal="right"/>
    </xf>
    <xf numFmtId="165" fontId="7" fillId="0" borderId="20" xfId="0" applyNumberFormat="1" applyFont="1" applyFill="1" applyBorder="1"/>
    <xf numFmtId="0" fontId="4" fillId="0" borderId="0" xfId="0" applyFont="1"/>
    <xf numFmtId="164" fontId="9" fillId="0" borderId="0" xfId="1" applyFont="1" applyFill="1" applyBorder="1"/>
    <xf numFmtId="164" fontId="9" fillId="0" borderId="0" xfId="1" applyFont="1" applyFill="1" applyBorder="1" applyAlignment="1">
      <alignment horizontal="right"/>
    </xf>
    <xf numFmtId="165" fontId="9" fillId="0" borderId="0" xfId="2" applyNumberFormat="1" applyFont="1" applyFill="1" applyBorder="1"/>
    <xf numFmtId="165" fontId="9" fillId="0" borderId="0" xfId="1" applyNumberFormat="1" applyFont="1" applyFill="1" applyBorder="1"/>
    <xf numFmtId="0" fontId="4" fillId="0" borderId="16" xfId="0" applyFont="1" applyBorder="1" applyAlignment="1">
      <alignment horizontal="right"/>
    </xf>
    <xf numFmtId="40" fontId="4" fillId="0" borderId="0" xfId="0" applyNumberFormat="1" applyFont="1" applyBorder="1"/>
    <xf numFmtId="0" fontId="4" fillId="0" borderId="0" xfId="0" applyFont="1" applyBorder="1"/>
    <xf numFmtId="0" fontId="5" fillId="2" borderId="21" xfId="0" applyFont="1" applyFill="1" applyBorder="1"/>
    <xf numFmtId="0" fontId="5" fillId="2" borderId="22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2" xfId="1" applyFont="1" applyFill="1" applyBorder="1"/>
    <xf numFmtId="164" fontId="5" fillId="3" borderId="7" xfId="1" applyFont="1" applyFill="1" applyBorder="1" applyAlignment="1">
      <alignment horizontal="right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4" fontId="5" fillId="3" borderId="8" xfId="1" applyFont="1" applyFill="1" applyBorder="1" applyAlignment="1">
      <alignment horizontal="right"/>
    </xf>
    <xf numFmtId="164" fontId="5" fillId="3" borderId="9" xfId="1" applyFont="1" applyFill="1" applyBorder="1" applyAlignment="1">
      <alignment horizontal="right"/>
    </xf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4" fontId="5" fillId="3" borderId="0" xfId="1" applyFont="1" applyFill="1" applyBorder="1"/>
    <xf numFmtId="3" fontId="4" fillId="0" borderId="9" xfId="1" applyNumberFormat="1" applyFont="1" applyFill="1" applyBorder="1"/>
    <xf numFmtId="165" fontId="4" fillId="0" borderId="9" xfId="2" applyNumberFormat="1" applyFont="1" applyFill="1" applyBorder="1"/>
    <xf numFmtId="165" fontId="4" fillId="0" borderId="9" xfId="1" applyNumberFormat="1" applyFont="1" applyFill="1" applyBorder="1"/>
    <xf numFmtId="165" fontId="4" fillId="0" borderId="23" xfId="2" applyNumberFormat="1" applyFont="1" applyFill="1" applyBorder="1"/>
    <xf numFmtId="165" fontId="7" fillId="0" borderId="24" xfId="0" applyNumberFormat="1" applyFont="1" applyFill="1" applyBorder="1"/>
    <xf numFmtId="2" fontId="0" fillId="0" borderId="0" xfId="0" applyNumberFormat="1"/>
    <xf numFmtId="0" fontId="5" fillId="2" borderId="25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164" fontId="7" fillId="0" borderId="0" xfId="1" applyFont="1" applyFill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164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164" fontId="4" fillId="0" borderId="0" xfId="1" applyFont="1" applyFill="1" applyBorder="1" applyAlignment="1">
      <alignment horizontal="right"/>
    </xf>
    <xf numFmtId="40" fontId="0" fillId="0" borderId="0" xfId="0" applyNumberFormat="1" applyBorder="1"/>
    <xf numFmtId="0" fontId="4" fillId="0" borderId="0" xfId="0" applyFont="1" applyFill="1" applyBorder="1" applyAlignment="1">
      <alignment horizontal="right"/>
    </xf>
    <xf numFmtId="43" fontId="4" fillId="0" borderId="0" xfId="0" applyNumberFormat="1" applyFont="1"/>
    <xf numFmtId="2" fontId="4" fillId="0" borderId="8" xfId="1" applyNumberFormat="1" applyFont="1" applyFill="1" applyBorder="1"/>
    <xf numFmtId="167" fontId="4" fillId="0" borderId="8" xfId="1" applyNumberFormat="1" applyFont="1" applyFill="1" applyBorder="1"/>
    <xf numFmtId="0" fontId="0" fillId="0" borderId="0" xfId="0" applyAlignment="1">
      <alignment horizontal="center" wrapText="1"/>
    </xf>
    <xf numFmtId="164" fontId="7" fillId="0" borderId="8" xfId="1" applyFont="1" applyFill="1" applyBorder="1"/>
    <xf numFmtId="164" fontId="5" fillId="3" borderId="16" xfId="1" applyFont="1" applyFill="1" applyBorder="1" applyAlignment="1">
      <alignment horizontal="right"/>
    </xf>
    <xf numFmtId="3" fontId="4" fillId="0" borderId="3" xfId="1" applyNumberFormat="1" applyFont="1" applyFill="1" applyBorder="1"/>
    <xf numFmtId="9" fontId="4" fillId="0" borderId="3" xfId="1" applyNumberFormat="1" applyFont="1" applyFill="1" applyBorder="1"/>
    <xf numFmtId="9" fontId="9" fillId="0" borderId="3" xfId="1" applyNumberFormat="1" applyFont="1" applyFill="1" applyBorder="1"/>
    <xf numFmtId="164" fontId="7" fillId="0" borderId="26" xfId="1" applyFont="1" applyFill="1" applyBorder="1"/>
    <xf numFmtId="3" fontId="4" fillId="0" borderId="18" xfId="2" applyNumberFormat="1" applyFont="1" applyFill="1" applyBorder="1"/>
    <xf numFmtId="3" fontId="4" fillId="0" borderId="8" xfId="4" applyNumberFormat="1" applyFont="1" applyFill="1" applyBorder="1"/>
    <xf numFmtId="1" fontId="4" fillId="0" borderId="8" xfId="4" applyNumberFormat="1" applyFont="1" applyFill="1" applyBorder="1"/>
    <xf numFmtId="3" fontId="4" fillId="0" borderId="15" xfId="1" applyNumberFormat="1" applyFont="1" applyFill="1" applyBorder="1"/>
    <xf numFmtId="9" fontId="4" fillId="0" borderId="15" xfId="1" applyNumberFormat="1" applyFont="1" applyFill="1" applyBorder="1"/>
    <xf numFmtId="9" fontId="9" fillId="0" borderId="15" xfId="1" applyNumberFormat="1" applyFont="1" applyFill="1" applyBorder="1"/>
    <xf numFmtId="164" fontId="7" fillId="0" borderId="9" xfId="1" applyFont="1" applyFill="1" applyBorder="1"/>
    <xf numFmtId="3" fontId="4" fillId="0" borderId="9" xfId="4" applyNumberFormat="1" applyFont="1" applyFill="1" applyBorder="1"/>
    <xf numFmtId="1" fontId="4" fillId="0" borderId="9" xfId="4" applyNumberFormat="1" applyFont="1" applyFill="1" applyBorder="1"/>
    <xf numFmtId="3" fontId="4" fillId="0" borderId="27" xfId="4" applyNumberFormat="1" applyFont="1" applyFill="1" applyBorder="1"/>
    <xf numFmtId="3" fontId="4" fillId="0" borderId="23" xfId="2" applyNumberFormat="1" applyFont="1" applyFill="1" applyBorder="1"/>
    <xf numFmtId="2" fontId="4" fillId="0" borderId="9" xfId="1" applyNumberFormat="1" applyFont="1" applyFill="1" applyBorder="1"/>
    <xf numFmtId="167" fontId="4" fillId="0" borderId="9" xfId="1" applyNumberFormat="1" applyFont="1" applyFill="1" applyBorder="1"/>
    <xf numFmtId="164" fontId="7" fillId="0" borderId="10" xfId="1" applyFont="1" applyFill="1" applyBorder="1" applyAlignment="1">
      <alignment horizontal="right"/>
    </xf>
    <xf numFmtId="0" fontId="0" fillId="0" borderId="0" xfId="0" applyFont="1" applyBorder="1"/>
    <xf numFmtId="166" fontId="10" fillId="0" borderId="0" xfId="3" applyNumberFormat="1" applyFont="1" applyBorder="1"/>
    <xf numFmtId="4" fontId="0" fillId="0" borderId="0" xfId="0" applyNumberFormat="1" applyFont="1"/>
    <xf numFmtId="4" fontId="4" fillId="0" borderId="11" xfId="1" applyNumberFormat="1" applyFont="1" applyFill="1" applyBorder="1"/>
    <xf numFmtId="4" fontId="4" fillId="0" borderId="12" xfId="1" applyNumberFormat="1" applyFont="1" applyFill="1" applyBorder="1"/>
    <xf numFmtId="165" fontId="7" fillId="0" borderId="0" xfId="0" applyNumberFormat="1" applyFont="1" applyFill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5">
    <cellStyle name="Normal" xfId="0" builtinId="0"/>
    <cellStyle name="Normal 2 2" xfId="4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7">
          <cell r="D7">
            <v>11.611111111111111</v>
          </cell>
          <cell r="E7">
            <v>10.3</v>
          </cell>
        </row>
        <row r="48">
          <cell r="D48">
            <v>19.347380258899673</v>
          </cell>
        </row>
      </sheetData>
      <sheetData sheetId="1">
        <row r="6">
          <cell r="H6">
            <v>8.7378640776699026</v>
          </cell>
        </row>
      </sheetData>
      <sheetData sheetId="2">
        <row r="4">
          <cell r="E4">
            <v>0.96601941747572806</v>
          </cell>
        </row>
      </sheetData>
      <sheetData sheetId="3">
        <row r="1">
          <cell r="C1">
            <v>1.07973174366617</v>
          </cell>
        </row>
        <row r="5">
          <cell r="C5">
            <v>2.5</v>
          </cell>
        </row>
        <row r="30">
          <cell r="C30">
            <v>25</v>
          </cell>
          <cell r="D30">
            <v>0.06</v>
          </cell>
          <cell r="E30">
            <v>1E-3</v>
          </cell>
        </row>
      </sheetData>
      <sheetData sheetId="4">
        <row r="3">
          <cell r="H3">
            <v>0.33537864077669893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6" workbookViewId="0">
      <selection activeCell="H21" sqref="H21"/>
    </sheetView>
  </sheetViews>
  <sheetFormatPr baseColWidth="10" defaultRowHeight="15" x14ac:dyDescent="0.25"/>
  <cols>
    <col min="1" max="1" width="21.5703125" customWidth="1"/>
    <col min="6" max="6" width="34.28515625" customWidth="1"/>
    <col min="7" max="7" width="16.140625" customWidth="1"/>
    <col min="8" max="8" width="13.42578125" customWidth="1"/>
    <col min="9" max="9" width="18.28515625" bestFit="1" customWidth="1"/>
    <col min="10" max="10" width="26.42578125" customWidth="1"/>
    <col min="11" max="11" width="55" customWidth="1"/>
  </cols>
  <sheetData>
    <row r="1" spans="1:11" ht="15.75" thickBot="1" x14ac:dyDescent="0.3"/>
    <row r="2" spans="1:11" x14ac:dyDescent="0.25">
      <c r="A2" s="25"/>
      <c r="B2" s="25" t="s">
        <v>36</v>
      </c>
      <c r="C2" s="26"/>
      <c r="D2" s="38"/>
      <c r="F2" s="48" t="s">
        <v>39</v>
      </c>
      <c r="G2" s="49"/>
      <c r="H2" s="49"/>
      <c r="I2" s="50"/>
      <c r="J2" s="29"/>
      <c r="K2" s="29"/>
    </row>
    <row r="3" spans="1:11" x14ac:dyDescent="0.25">
      <c r="A3" s="25" t="s">
        <v>30</v>
      </c>
      <c r="B3" t="s">
        <v>29</v>
      </c>
      <c r="C3">
        <f>'[1]byggetid levetid rente'!$C$5</f>
        <v>2.5</v>
      </c>
      <c r="E3" s="28"/>
      <c r="F3" s="30"/>
      <c r="G3" s="31" t="s">
        <v>4</v>
      </c>
      <c r="H3" s="32"/>
      <c r="I3" s="33"/>
      <c r="J3" s="29"/>
      <c r="K3" s="29"/>
    </row>
    <row r="4" spans="1:11" x14ac:dyDescent="0.25">
      <c r="A4" s="25" t="s">
        <v>31</v>
      </c>
      <c r="B4" t="s">
        <v>29</v>
      </c>
      <c r="C4" s="83">
        <f>'[1]byggetid levetid rente'!$C$30</f>
        <v>25</v>
      </c>
      <c r="E4" s="28"/>
      <c r="F4" s="30" t="s">
        <v>5</v>
      </c>
      <c r="G4" s="64" t="s">
        <v>49</v>
      </c>
      <c r="H4" s="34">
        <v>100</v>
      </c>
      <c r="I4" s="35">
        <v>450</v>
      </c>
      <c r="J4" s="40" t="s">
        <v>25</v>
      </c>
      <c r="K4" s="40" t="s">
        <v>24</v>
      </c>
    </row>
    <row r="5" spans="1:11" x14ac:dyDescent="0.25">
      <c r="A5" s="25" t="s">
        <v>37</v>
      </c>
      <c r="B5" t="s">
        <v>35</v>
      </c>
      <c r="C5" s="39">
        <f>'[1]byggetid levetid rente'!$D$30</f>
        <v>0.06</v>
      </c>
      <c r="E5" s="28"/>
      <c r="F5" s="2" t="s">
        <v>6</v>
      </c>
      <c r="G5" s="9" t="s">
        <v>7</v>
      </c>
      <c r="H5" s="65">
        <v>7000</v>
      </c>
      <c r="I5" s="72">
        <v>7500</v>
      </c>
      <c r="J5" t="s">
        <v>52</v>
      </c>
    </row>
    <row r="6" spans="1:11" ht="30" x14ac:dyDescent="0.25">
      <c r="A6" s="25" t="s">
        <v>34</v>
      </c>
      <c r="B6" s="17" t="s">
        <v>38</v>
      </c>
      <c r="C6" s="84">
        <f>'[1]byggetid levetid rente'!$E$30</f>
        <v>1E-3</v>
      </c>
      <c r="E6" s="17"/>
      <c r="F6" s="2" t="s">
        <v>51</v>
      </c>
      <c r="G6" s="9" t="s">
        <v>1</v>
      </c>
      <c r="H6" s="66">
        <v>0.54</v>
      </c>
      <c r="I6" s="73">
        <v>0.56999999999999995</v>
      </c>
      <c r="J6" t="s">
        <v>52</v>
      </c>
      <c r="K6" s="62" t="s">
        <v>55</v>
      </c>
    </row>
    <row r="7" spans="1:11" x14ac:dyDescent="0.25">
      <c r="A7" s="25" t="s">
        <v>43</v>
      </c>
      <c r="B7" s="17" t="s">
        <v>40</v>
      </c>
      <c r="C7" s="37">
        <f>'[1]Brennverdier og priser'!$E$7</f>
        <v>10.3</v>
      </c>
      <c r="D7" s="17"/>
      <c r="E7" s="17"/>
      <c r="F7" s="2" t="s">
        <v>57</v>
      </c>
      <c r="G7" s="9" t="s">
        <v>1</v>
      </c>
      <c r="H7" s="67">
        <f>H6/$C$8*$C$7</f>
        <v>0.47902392344497619</v>
      </c>
      <c r="I7" s="74">
        <f>I6/$C$8*$C$7</f>
        <v>0.50563636363636366</v>
      </c>
    </row>
    <row r="8" spans="1:11" x14ac:dyDescent="0.25">
      <c r="A8" s="25" t="s">
        <v>44</v>
      </c>
      <c r="B8" s="17" t="s">
        <v>40</v>
      </c>
      <c r="C8" s="37">
        <f>'[1]Brennverdier og priser'!$D$7</f>
        <v>11.611111111111111</v>
      </c>
      <c r="E8" s="17"/>
      <c r="F8" s="3" t="s">
        <v>8</v>
      </c>
      <c r="G8" s="4"/>
      <c r="H8" s="63"/>
      <c r="I8" s="75"/>
    </row>
    <row r="9" spans="1:11" x14ac:dyDescent="0.25">
      <c r="A9" s="25" t="s">
        <v>32</v>
      </c>
      <c r="B9" s="17" t="s">
        <v>45</v>
      </c>
      <c r="C9" s="37">
        <f>'[1]Brennverdier og priser'!$D$48</f>
        <v>19.347380258899673</v>
      </c>
      <c r="E9" s="17"/>
      <c r="F9" s="5" t="s">
        <v>9</v>
      </c>
      <c r="G9" s="6" t="s">
        <v>46</v>
      </c>
      <c r="H9" s="70">
        <f>4600*C13</f>
        <v>4966.766020864382</v>
      </c>
      <c r="I9" s="76">
        <f>3650*C13</f>
        <v>3941.0208643815204</v>
      </c>
      <c r="J9" s="91" t="s">
        <v>53</v>
      </c>
      <c r="K9" s="91" t="s">
        <v>54</v>
      </c>
    </row>
    <row r="10" spans="1:11" x14ac:dyDescent="0.25">
      <c r="A10" s="47" t="s">
        <v>16</v>
      </c>
      <c r="B10" s="17" t="s">
        <v>45</v>
      </c>
      <c r="C10" s="85">
        <f>'[1]CO2-avgift, grunnavgift'!$H$6</f>
        <v>8.7378640776699026</v>
      </c>
      <c r="D10" s="17"/>
      <c r="E10" s="17"/>
      <c r="F10" s="5" t="s">
        <v>10</v>
      </c>
      <c r="G10" s="6" t="s">
        <v>46</v>
      </c>
      <c r="H10" s="7">
        <f>1500*C13</f>
        <v>1619.597615499255</v>
      </c>
      <c r="I10" s="41">
        <f>1200*C13</f>
        <v>1295.678092399404</v>
      </c>
      <c r="J10" s="91"/>
      <c r="K10" s="91"/>
    </row>
    <row r="11" spans="1:11" x14ac:dyDescent="0.25">
      <c r="A11" s="47" t="s">
        <v>17</v>
      </c>
      <c r="B11" s="17" t="s">
        <v>45</v>
      </c>
      <c r="C11" s="46">
        <f>'[1]NOX avgift'!$H$3</f>
        <v>0.33537864077669893</v>
      </c>
      <c r="E11" s="27"/>
      <c r="F11" s="5" t="s">
        <v>11</v>
      </c>
      <c r="G11" s="6" t="s">
        <v>46</v>
      </c>
      <c r="H11" s="71">
        <f>150*C13</f>
        <v>161.9597615499255</v>
      </c>
      <c r="I11" s="77">
        <f>130*C13</f>
        <v>140.3651266766021</v>
      </c>
      <c r="J11" s="91"/>
      <c r="K11" s="91"/>
    </row>
    <row r="12" spans="1:11" x14ac:dyDescent="0.25">
      <c r="A12" s="47" t="s">
        <v>18</v>
      </c>
      <c r="B12" s="17" t="s">
        <v>45</v>
      </c>
      <c r="C12" s="59">
        <f>'[1]CO2-kvoter'!$E$4</f>
        <v>0.96601941747572806</v>
      </c>
      <c r="D12" s="27"/>
      <c r="E12" s="27"/>
      <c r="F12" s="5" t="s">
        <v>12</v>
      </c>
      <c r="G12" s="6" t="s">
        <v>46</v>
      </c>
      <c r="H12" s="71">
        <f>1100*C13</f>
        <v>1187.704918032787</v>
      </c>
      <c r="I12" s="77">
        <f>900*C13</f>
        <v>971.75856929955296</v>
      </c>
      <c r="J12" s="91"/>
      <c r="K12" s="91"/>
    </row>
    <row r="13" spans="1:11" x14ac:dyDescent="0.25">
      <c r="A13" s="25" t="s">
        <v>42</v>
      </c>
      <c r="B13" s="17" t="s">
        <v>41</v>
      </c>
      <c r="C13" s="46">
        <f>'[1]byggetid levetid rente'!$C$1</f>
        <v>1.07973174366617</v>
      </c>
      <c r="D13" s="27"/>
      <c r="E13" s="27"/>
      <c r="F13" s="8" t="s">
        <v>13</v>
      </c>
      <c r="G13" s="6" t="s">
        <v>46</v>
      </c>
      <c r="H13" s="70">
        <f>(H9+H10+H11+H12)*(((1+($C$5))*((1+$C$5)^($C$3)-1))/($C$5*$C$3))-(H9+H10+H11+H12)</f>
        <v>858.46784262817528</v>
      </c>
      <c r="I13" s="78">
        <f>(I9+I10+I11+I12)*(((1+($C$5))*((1+$C$5)^($C$3)-1))/($C$5*$C$3))-(I9+I10+I11+I12)</f>
        <v>686.77427410253949</v>
      </c>
      <c r="J13" s="91"/>
      <c r="K13" s="91"/>
    </row>
    <row r="14" spans="1:11" x14ac:dyDescent="0.25">
      <c r="F14" s="68" t="s">
        <v>14</v>
      </c>
      <c r="G14" s="6" t="s">
        <v>46</v>
      </c>
      <c r="H14" s="69">
        <f>SUM(H9:H13)</f>
        <v>8794.4961585745241</v>
      </c>
      <c r="I14" s="79">
        <f>SUM(I9:I13)</f>
        <v>7035.5969268596182</v>
      </c>
    </row>
    <row r="15" spans="1:11" x14ac:dyDescent="0.25">
      <c r="F15" s="2" t="s">
        <v>0</v>
      </c>
      <c r="G15" s="9" t="s">
        <v>47</v>
      </c>
      <c r="H15" s="65">
        <f>280*C13</f>
        <v>302.32488822652761</v>
      </c>
      <c r="I15" s="72">
        <f>160*C13</f>
        <v>172.7570789865872</v>
      </c>
      <c r="J15" t="s">
        <v>53</v>
      </c>
      <c r="K15" t="s">
        <v>54</v>
      </c>
    </row>
    <row r="16" spans="1:11" x14ac:dyDescent="0.25">
      <c r="F16" s="3" t="s">
        <v>19</v>
      </c>
      <c r="G16" s="6"/>
      <c r="H16" s="7"/>
      <c r="I16" s="41"/>
    </row>
    <row r="17" spans="6:11" x14ac:dyDescent="0.25">
      <c r="F17" s="8" t="s">
        <v>15</v>
      </c>
      <c r="G17" s="6" t="s">
        <v>50</v>
      </c>
      <c r="H17" s="10">
        <f>1/H6</f>
        <v>1.8518518518518516</v>
      </c>
      <c r="I17" s="42">
        <f>1/I6</f>
        <v>1.7543859649122808</v>
      </c>
    </row>
    <row r="18" spans="6:11" x14ac:dyDescent="0.25">
      <c r="F18" s="8" t="s">
        <v>33</v>
      </c>
      <c r="G18" s="22" t="s">
        <v>45</v>
      </c>
      <c r="H18" s="11">
        <f>$C$9</f>
        <v>19.347380258899673</v>
      </c>
      <c r="I18" s="43">
        <f>$C$9</f>
        <v>19.347380258899673</v>
      </c>
    </row>
    <row r="19" spans="6:11" x14ac:dyDescent="0.25">
      <c r="F19" s="8" t="s">
        <v>16</v>
      </c>
      <c r="G19" s="22" t="s">
        <v>45</v>
      </c>
      <c r="H19" s="60">
        <f>$C$10</f>
        <v>8.7378640776699026</v>
      </c>
      <c r="I19" s="80">
        <f>$C$10</f>
        <v>8.7378640776699026</v>
      </c>
    </row>
    <row r="20" spans="6:11" x14ac:dyDescent="0.25">
      <c r="F20" s="8" t="s">
        <v>17</v>
      </c>
      <c r="G20" s="22" t="s">
        <v>45</v>
      </c>
      <c r="H20" s="60">
        <f>$C$11</f>
        <v>0.33537864077669893</v>
      </c>
      <c r="I20" s="80">
        <f>$C$11</f>
        <v>0.33537864077669893</v>
      </c>
    </row>
    <row r="21" spans="6:11" x14ac:dyDescent="0.25">
      <c r="F21" s="8" t="s">
        <v>18</v>
      </c>
      <c r="G21" s="22" t="s">
        <v>45</v>
      </c>
      <c r="H21" s="60">
        <f>$C$12</f>
        <v>0.96601941747572806</v>
      </c>
      <c r="I21" s="80">
        <f>$C$12</f>
        <v>0.96601941747572806</v>
      </c>
    </row>
    <row r="22" spans="6:11" x14ac:dyDescent="0.25">
      <c r="F22" s="3" t="s">
        <v>56</v>
      </c>
      <c r="G22" s="12" t="s">
        <v>48</v>
      </c>
      <c r="H22" s="13">
        <f>SUM(H18:H21)*H17</f>
        <v>54.419708138559258</v>
      </c>
      <c r="I22" s="44">
        <f>SUM(I18:I21)*I17</f>
        <v>51.555512973371933</v>
      </c>
    </row>
    <row r="23" spans="6:11" x14ac:dyDescent="0.25">
      <c r="F23" s="2" t="s">
        <v>20</v>
      </c>
      <c r="G23" s="9" t="s">
        <v>48</v>
      </c>
      <c r="H23" s="61">
        <f>3*C13</f>
        <v>3.2391952309985097</v>
      </c>
      <c r="I23" s="81">
        <f>1.9*C13</f>
        <v>2.0514903129657229</v>
      </c>
      <c r="J23" t="s">
        <v>53</v>
      </c>
      <c r="K23" t="s">
        <v>54</v>
      </c>
    </row>
    <row r="24" spans="6:11" ht="15.75" thickBot="1" x14ac:dyDescent="0.3">
      <c r="F24" s="14" t="s">
        <v>27</v>
      </c>
      <c r="G24" s="15" t="s">
        <v>48</v>
      </c>
      <c r="H24" s="16">
        <f>SUM(H31:H34)/H35</f>
        <v>72.489617935313817</v>
      </c>
      <c r="I24" s="45">
        <f>SUM(I31:I34)/I35</f>
        <v>63.850962224853355</v>
      </c>
    </row>
    <row r="25" spans="6:11" ht="86.25" customHeight="1" x14ac:dyDescent="0.25">
      <c r="F25" s="1" t="s">
        <v>26</v>
      </c>
      <c r="G25" s="82"/>
      <c r="H25" s="86">
        <v>0.95</v>
      </c>
      <c r="I25" s="87">
        <v>0.95</v>
      </c>
      <c r="J25" s="89" t="s">
        <v>59</v>
      </c>
      <c r="K25" s="90" t="s">
        <v>58</v>
      </c>
    </row>
    <row r="26" spans="6:11" ht="15.75" thickBot="1" x14ac:dyDescent="0.3">
      <c r="F26" s="14" t="s">
        <v>28</v>
      </c>
      <c r="G26" s="15" t="s">
        <v>2</v>
      </c>
      <c r="H26" s="16">
        <f>H24*H25</f>
        <v>68.865137038548127</v>
      </c>
      <c r="I26" s="45">
        <f>I24*I25</f>
        <v>60.658414113610682</v>
      </c>
    </row>
    <row r="27" spans="6:11" x14ac:dyDescent="0.25">
      <c r="I27" s="21"/>
    </row>
    <row r="28" spans="6:11" x14ac:dyDescent="0.25">
      <c r="F28" s="18"/>
      <c r="G28" s="19"/>
      <c r="H28" s="88"/>
      <c r="I28" s="88"/>
    </row>
    <row r="29" spans="6:11" x14ac:dyDescent="0.25">
      <c r="F29" s="17"/>
      <c r="G29" s="17"/>
      <c r="H29" s="37"/>
      <c r="I29" s="37"/>
    </row>
    <row r="30" spans="6:11" x14ac:dyDescent="0.25">
      <c r="F30" s="51" t="s">
        <v>21</v>
      </c>
      <c r="G30" s="52"/>
      <c r="H30" s="53"/>
      <c r="I30" s="53"/>
    </row>
    <row r="31" spans="6:11" x14ac:dyDescent="0.25">
      <c r="F31" s="54" t="str">
        <f>F8</f>
        <v>Investeringskostnader</v>
      </c>
      <c r="G31" s="55" t="s">
        <v>22</v>
      </c>
      <c r="H31" s="54">
        <f>H14*100*1000*H4</f>
        <v>87944961585.745239</v>
      </c>
      <c r="I31" s="54">
        <f>I14*100*1000*I4</f>
        <v>316601861708.6828</v>
      </c>
    </row>
    <row r="32" spans="6:11" x14ac:dyDescent="0.25">
      <c r="F32" s="54" t="str">
        <f>F15</f>
        <v>Faste driftskostnader</v>
      </c>
      <c r="G32" s="55" t="s">
        <v>22</v>
      </c>
      <c r="H32" s="23">
        <f>-PV($C$5,$C$4,H15*100*1000*H4)</f>
        <v>38647267217.083908</v>
      </c>
      <c r="I32" s="23">
        <f>-PV($C$5,$C$4,I15*100*1000*I4)</f>
        <v>99378687129.644363</v>
      </c>
    </row>
    <row r="33" spans="6:9" x14ac:dyDescent="0.25">
      <c r="F33" s="54" t="str">
        <f>F23</f>
        <v>Variable kostnader eks brensel</v>
      </c>
      <c r="G33" s="55" t="s">
        <v>22</v>
      </c>
      <c r="H33" s="23">
        <f>-PV($C$5,$C$4,H23*1000*H4*H5)</f>
        <v>28985450412.812927</v>
      </c>
      <c r="I33" s="23">
        <f>-PV($C$5,$C$4,I23*1000*I4*I5)</f>
        <v>88509143224.839478</v>
      </c>
    </row>
    <row r="34" spans="6:9" x14ac:dyDescent="0.25">
      <c r="F34" s="54" t="str">
        <f>F22</f>
        <v>Sum brensels- og utslippskostnader</v>
      </c>
      <c r="G34" s="55" t="s">
        <v>22</v>
      </c>
      <c r="H34" s="23">
        <f>-PV($C$5,$C$4,H4*H22*1000*H5)</f>
        <v>486966557814.95477</v>
      </c>
      <c r="I34" s="23">
        <f>-PV($C$5,$C$4,I4*I22*1000*I5)</f>
        <v>2224302134380.3389</v>
      </c>
    </row>
    <row r="35" spans="6:9" x14ac:dyDescent="0.25">
      <c r="F35" s="54" t="s">
        <v>23</v>
      </c>
      <c r="G35" s="55" t="s">
        <v>3</v>
      </c>
      <c r="H35" s="23">
        <f>-PV($C$5+$C$6,$C$4,H4*H5*1000)</f>
        <v>8863948456.7841415</v>
      </c>
      <c r="I35" s="23">
        <f>-PV($C$5+$C$6,$C$4,I4*I5*1000)</f>
        <v>42736894345.209259</v>
      </c>
    </row>
    <row r="36" spans="6:9" x14ac:dyDescent="0.25">
      <c r="F36" s="36"/>
      <c r="G36" s="56"/>
      <c r="H36" s="57"/>
      <c r="I36" s="57"/>
    </row>
    <row r="37" spans="6:9" x14ac:dyDescent="0.25">
      <c r="F37" s="18"/>
      <c r="G37" s="55"/>
      <c r="H37" s="20"/>
      <c r="I37" s="20"/>
    </row>
    <row r="38" spans="6:9" x14ac:dyDescent="0.25">
      <c r="F38" s="18"/>
      <c r="G38" s="55"/>
      <c r="H38" s="21"/>
      <c r="I38" s="21"/>
    </row>
    <row r="39" spans="6:9" x14ac:dyDescent="0.25">
      <c r="F39" s="24"/>
      <c r="G39" s="55"/>
      <c r="H39" s="23"/>
      <c r="I39" s="23"/>
    </row>
    <row r="40" spans="6:9" x14ac:dyDescent="0.25">
      <c r="F40" s="24"/>
      <c r="G40" s="55"/>
      <c r="H40" s="23"/>
      <c r="I40" s="23"/>
    </row>
    <row r="41" spans="6:9" x14ac:dyDescent="0.25">
      <c r="F41" s="36"/>
      <c r="G41" s="58"/>
      <c r="H41" s="57"/>
      <c r="I41" s="57"/>
    </row>
    <row r="42" spans="6:9" x14ac:dyDescent="0.25">
      <c r="F42" s="36"/>
      <c r="G42" s="36"/>
      <c r="H42" s="36"/>
      <c r="I42" s="36"/>
    </row>
    <row r="43" spans="6:9" x14ac:dyDescent="0.25">
      <c r="F43" s="36"/>
      <c r="G43" s="36"/>
      <c r="H43" s="36"/>
      <c r="I43" s="36"/>
    </row>
  </sheetData>
  <mergeCells count="2">
    <mergeCell ref="J9:J13"/>
    <mergeCell ref="K9:K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2017-03-07T11:35:29Z</dcterms:modified>
</cp:coreProperties>
</file>