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4785" windowHeight="1213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C27" i="2" l="1"/>
  <c r="I28" i="2" s="1"/>
  <c r="C19" i="2"/>
  <c r="I27" i="2" s="1"/>
  <c r="C9" i="2" l="1"/>
  <c r="C8" i="2"/>
  <c r="C7" i="2"/>
  <c r="C6" i="2"/>
  <c r="C5" i="2"/>
  <c r="I55" i="2" l="1"/>
  <c r="I48" i="2"/>
  <c r="I12" i="2"/>
  <c r="I20" i="2"/>
  <c r="I52" i="2" s="1"/>
  <c r="I14" i="2"/>
  <c r="I13" i="2"/>
  <c r="I21" i="2"/>
  <c r="I53" i="2" s="1"/>
  <c r="I11" i="2"/>
  <c r="J22" i="2"/>
  <c r="K22" i="2"/>
  <c r="L22" i="2"/>
  <c r="M22" i="2"/>
  <c r="H22" i="2"/>
  <c r="I17" i="2" l="1"/>
  <c r="I19" i="2" s="1"/>
  <c r="I51" i="2" s="1"/>
  <c r="I15" i="2"/>
  <c r="I18" i="2" s="1"/>
  <c r="I44" i="2" s="1"/>
  <c r="I45" i="2"/>
  <c r="I46" i="2"/>
  <c r="C26" i="2"/>
  <c r="C25" i="2"/>
  <c r="I25" i="2" s="1"/>
  <c r="I34" i="2" s="1"/>
  <c r="I54" i="2" s="1"/>
  <c r="C24" i="2"/>
  <c r="C23" i="2"/>
  <c r="C18" i="2"/>
  <c r="C16" i="2"/>
  <c r="C15" i="2"/>
  <c r="I8" i="2" l="1"/>
  <c r="I36" i="2"/>
  <c r="I39" i="2" s="1"/>
  <c r="K8" i="2"/>
  <c r="J25" i="2"/>
  <c r="K25" i="2"/>
  <c r="M25" i="2"/>
  <c r="H25" i="2"/>
  <c r="L25" i="2"/>
  <c r="L27" i="2"/>
  <c r="M27" i="2"/>
  <c r="J27" i="2"/>
  <c r="H27" i="2"/>
  <c r="K27" i="2"/>
  <c r="M31" i="2"/>
  <c r="L31" i="2"/>
  <c r="M30" i="2"/>
  <c r="L30" i="2"/>
  <c r="L28" i="2"/>
  <c r="M28" i="2"/>
  <c r="H28" i="2"/>
  <c r="K28" i="2"/>
  <c r="J28" i="2"/>
  <c r="L8" i="2"/>
  <c r="M8" i="2"/>
  <c r="J8" i="2"/>
  <c r="H8" i="2"/>
  <c r="H34" i="2" l="1"/>
  <c r="K34" i="2"/>
  <c r="L34" i="2"/>
  <c r="M34" i="2"/>
  <c r="J34" i="2"/>
  <c r="C17" i="2"/>
  <c r="I24" i="2" s="1"/>
  <c r="I33" i="2" s="1"/>
  <c r="I47" i="2" s="1"/>
  <c r="I35" i="2" s="1"/>
  <c r="I38" i="2" s="1"/>
  <c r="H20" i="2" l="1"/>
  <c r="K12" i="2"/>
  <c r="K11" i="2"/>
  <c r="M13" i="2"/>
  <c r="J14" i="2"/>
  <c r="M12" i="2"/>
  <c r="M11" i="2"/>
  <c r="J12" i="2"/>
  <c r="M21" i="2"/>
  <c r="M46" i="2" s="1"/>
  <c r="H14" i="2"/>
  <c r="L14" i="2"/>
  <c r="H13" i="2"/>
  <c r="L13" i="2"/>
  <c r="H12" i="2"/>
  <c r="J21" i="2"/>
  <c r="J53" i="2" s="1"/>
  <c r="H21" i="2"/>
  <c r="H53" i="2" s="1"/>
  <c r="J20" i="2"/>
  <c r="J52" i="2" s="1"/>
  <c r="M16" i="2"/>
  <c r="J13" i="2"/>
  <c r="L16" i="2"/>
  <c r="H11" i="2"/>
  <c r="L11" i="2"/>
  <c r="K16" i="2"/>
  <c r="L20" i="2"/>
  <c r="L52" i="2" s="1"/>
  <c r="K20" i="2"/>
  <c r="K52" i="2" s="1"/>
  <c r="K13" i="2"/>
  <c r="M14" i="2"/>
  <c r="J16" i="2"/>
  <c r="J11" i="2"/>
  <c r="L21" i="2"/>
  <c r="L46" i="2" s="1"/>
  <c r="K21" i="2"/>
  <c r="K46" i="2" s="1"/>
  <c r="L12" i="2"/>
  <c r="M20" i="2"/>
  <c r="M52" i="2" s="1"/>
  <c r="K14" i="2"/>
  <c r="K54" i="2"/>
  <c r="H45" i="2"/>
  <c r="L55" i="2"/>
  <c r="H52" i="2"/>
  <c r="J45" i="2"/>
  <c r="J48" i="2"/>
  <c r="K48" i="2"/>
  <c r="K55" i="2"/>
  <c r="M48" i="2"/>
  <c r="M55" i="2"/>
  <c r="H54" i="2"/>
  <c r="M53" i="2"/>
  <c r="M45" i="2"/>
  <c r="L48" i="2"/>
  <c r="M54" i="2"/>
  <c r="H55" i="2"/>
  <c r="J54" i="2"/>
  <c r="L54" i="2"/>
  <c r="J55" i="2"/>
  <c r="H48" i="2"/>
  <c r="H24" i="2"/>
  <c r="H33" i="2" s="1"/>
  <c r="H47" i="2" s="1"/>
  <c r="J24" i="2"/>
  <c r="K24" i="2"/>
  <c r="L24" i="2"/>
  <c r="M24" i="2"/>
  <c r="M33" i="2" s="1"/>
  <c r="M47" i="2" s="1"/>
  <c r="J17" i="2" l="1"/>
  <c r="J19" i="2" s="1"/>
  <c r="J51" i="2" s="1"/>
  <c r="K45" i="2"/>
  <c r="J33" i="2"/>
  <c r="J47" i="2" s="1"/>
  <c r="L15" i="2"/>
  <c r="L18" i="2" s="1"/>
  <c r="L44" i="2" s="1"/>
  <c r="K53" i="2"/>
  <c r="K33" i="2"/>
  <c r="K47" i="2" s="1"/>
  <c r="L45" i="2"/>
  <c r="H46" i="2"/>
  <c r="L53" i="2"/>
  <c r="K15" i="2"/>
  <c r="K18" i="2" s="1"/>
  <c r="K44" i="2" s="1"/>
  <c r="L33" i="2"/>
  <c r="L47" i="2" s="1"/>
  <c r="J46" i="2"/>
  <c r="J36" i="2"/>
  <c r="J39" i="2" s="1"/>
  <c r="H15" i="2"/>
  <c r="H18" i="2" s="1"/>
  <c r="H44" i="2" s="1"/>
  <c r="H35" i="2" s="1"/>
  <c r="H38" i="2" s="1"/>
  <c r="M17" i="2"/>
  <c r="M19" i="2" s="1"/>
  <c r="M51" i="2" s="1"/>
  <c r="M36" i="2" s="1"/>
  <c r="M39" i="2" s="1"/>
  <c r="L17" i="2"/>
  <c r="L19" i="2" s="1"/>
  <c r="L51" i="2" s="1"/>
  <c r="K17" i="2"/>
  <c r="K19" i="2" s="1"/>
  <c r="K51" i="2" s="1"/>
  <c r="H17" i="2"/>
  <c r="H19" i="2" s="1"/>
  <c r="H51" i="2" s="1"/>
  <c r="H36" i="2" s="1"/>
  <c r="H39" i="2" s="1"/>
  <c r="M15" i="2"/>
  <c r="M18" i="2" s="1"/>
  <c r="M44" i="2" s="1"/>
  <c r="M35" i="2" s="1"/>
  <c r="J15" i="2"/>
  <c r="J18" i="2" s="1"/>
  <c r="J44" i="2" s="1"/>
  <c r="K36" i="2" l="1"/>
  <c r="K39" i="2" s="1"/>
  <c r="M38" i="2"/>
  <c r="K35" i="2"/>
  <c r="L35" i="2"/>
  <c r="J35" i="2"/>
  <c r="J38" i="2" s="1"/>
  <c r="L36" i="2"/>
  <c r="L39" i="2" s="1"/>
  <c r="L38" i="2" l="1"/>
  <c r="K38" i="2"/>
</calcChain>
</file>

<file path=xl/sharedStrings.xml><?xml version="1.0" encoding="utf-8"?>
<sst xmlns="http://schemas.openxmlformats.org/spreadsheetml/2006/main" count="133" uniqueCount="68">
  <si>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</si>
  <si>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</si>
  <si>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</si>
  <si>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</si>
  <si>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</si>
  <si>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</si>
  <si>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</si>
  <si>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Prosjektering og administrasjon</t>
  </si>
  <si>
    <t>CO2-avgift</t>
  </si>
  <si>
    <t>NOx-avgift</t>
  </si>
  <si>
    <t>øre</t>
  </si>
  <si>
    <t>Merknad</t>
  </si>
  <si>
    <t>Kilde</t>
  </si>
  <si>
    <t>år</t>
  </si>
  <si>
    <t>Byggetid</t>
  </si>
  <si>
    <t>Levetid</t>
  </si>
  <si>
    <t>Brenselpris</t>
  </si>
  <si>
    <t>Degraderingsrate</t>
  </si>
  <si>
    <t>prosent/år</t>
  </si>
  <si>
    <t>enhet</t>
  </si>
  <si>
    <t>Diskonteringsrente</t>
  </si>
  <si>
    <t>prosent</t>
  </si>
  <si>
    <t>MW</t>
  </si>
  <si>
    <t>kr/kW</t>
  </si>
  <si>
    <t>Gasskjel</t>
  </si>
  <si>
    <t>kWh/Sm3</t>
  </si>
  <si>
    <t>faktor</t>
  </si>
  <si>
    <t>Inflasjon 2013-2016</t>
  </si>
  <si>
    <t>Kjel</t>
  </si>
  <si>
    <t>Installasjon</t>
  </si>
  <si>
    <t>Øvrige kostnader (skorstein etc)</t>
  </si>
  <si>
    <t>Byggetidsrenter  (naturgass)</t>
  </si>
  <si>
    <t>Gasstank (LPG)</t>
  </si>
  <si>
    <t>Byggetidsrenter   (LPG)</t>
  </si>
  <si>
    <t xml:space="preserve">Spesifikt brenselforbruk </t>
  </si>
  <si>
    <t xml:space="preserve">   naturgass</t>
  </si>
  <si>
    <t>Brenselspris</t>
  </si>
  <si>
    <t xml:space="preserve">    LPG</t>
  </si>
  <si>
    <t xml:space="preserve">Faste driftskostnader </t>
  </si>
  <si>
    <t xml:space="preserve">Variable kostnader eks brensel </t>
  </si>
  <si>
    <t>Sum investeringskostnader (naturgass)</t>
  </si>
  <si>
    <t>Sum investeringskostnader (LPG)</t>
  </si>
  <si>
    <t>kr/kW/år</t>
  </si>
  <si>
    <t>Virkningsgrad (nedre brennverdi)</t>
  </si>
  <si>
    <t>Virkningsgrad (øvre brennverdi)</t>
  </si>
  <si>
    <t>Energiinhold (nedre brennverdi)</t>
  </si>
  <si>
    <t>Naturgass</t>
  </si>
  <si>
    <t>Energiinhold (øvre  brennverdi)</t>
  </si>
  <si>
    <t>øre/kWhbrensel</t>
  </si>
  <si>
    <t>LPG</t>
  </si>
  <si>
    <t>kWhbrensel/kWh</t>
  </si>
  <si>
    <t xml:space="preserve">Nåverdier </t>
  </si>
  <si>
    <t>Faste driftskostnader</t>
  </si>
  <si>
    <t>Produsert varme</t>
  </si>
  <si>
    <t>Brensels- og utspillskostnader</t>
  </si>
  <si>
    <t>Norconsult</t>
  </si>
  <si>
    <t>Dette er momentan virkningsgrad, årsvirkningsgrad ligger 5-15 % lavere.</t>
  </si>
  <si>
    <t>Norconsult, basert på prisanslag fra to leverandører i Norge</t>
  </si>
  <si>
    <t>Justert opp fra Kostnader i energisektoren 2015 vha infasjonsindeks</t>
  </si>
  <si>
    <t>LCOE 2016 (naturgass)</t>
  </si>
  <si>
    <t>LCOE 2016 (LPG)</t>
  </si>
  <si>
    <t>Faktor for teknologiforbedring 2016 - 2035</t>
  </si>
  <si>
    <t>LCOE 2035 (naturgass)</t>
  </si>
  <si>
    <t>LCOE 2035 (LPG)</t>
  </si>
  <si>
    <t>Dette er moden teknologi med lite potensiale for reduksjon i investeringskostnader. Kostnadsutvikling er sterkt avhengig av brenselspris og utslippskostnader som er antatt konstante her.</t>
  </si>
  <si>
    <r>
      <t xml:space="preserve">Justert opp fra </t>
    </r>
    <r>
      <rPr>
        <i/>
        <sz val="11"/>
        <color theme="1"/>
        <rFont val="Calibri"/>
        <family val="2"/>
        <scheme val="minor"/>
      </rPr>
      <t xml:space="preserve">Kostnader i energisektoren 2015 </t>
    </r>
    <r>
      <rPr>
        <sz val="11"/>
        <color theme="1"/>
        <rFont val="Calibri"/>
        <family val="2"/>
        <scheme val="minor"/>
      </rPr>
      <t>vha inflasjonsindeks</t>
    </r>
  </si>
  <si>
    <t>inkl. mva.</t>
  </si>
  <si>
    <t>Mva.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</si>
</sst>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General_)"/>
    <numFmt numFmtId="165" formatCode="0.0"/>
    <numFmt numFmtId="166" formatCode="0.0\ %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19">
    <xf numFmtId="0" fontId="0" fillId="0" borderId="0" xfId="0"/>
    <xf numFmtId="164" fontId="4" fillId="0" borderId="12" xfId="1" applyFont="1" applyFill="1" applyBorder="1"/>
    <xf numFmtId="0" fontId="4" fillId="0" borderId="0" xfId="0" applyFont="1"/>
    <xf numFmtId="164" fontId="9" fillId="0" borderId="0" xfId="1" applyFont="1" applyFill="1" applyBorder="1"/>
    <xf numFmtId="165" fontId="9" fillId="0" borderId="0" xfId="1" applyNumberFormat="1" applyFont="1" applyFill="1" applyBorder="1"/>
    <xf numFmtId="0" fontId="4" fillId="0" borderId="11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15" xfId="0" applyFont="1" applyFill="1" applyBorder="1"/>
    <xf numFmtId="0" fontId="5" fillId="2" borderId="16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1" xfId="1" applyFont="1" applyFill="1" applyBorder="1"/>
    <xf numFmtId="164" fontId="5" fillId="3" borderId="4" xfId="1" applyFont="1" applyFill="1" applyBorder="1" applyAlignment="1">
      <alignment horizontal="right"/>
    </xf>
    <xf numFmtId="40" fontId="0" fillId="0" borderId="0" xfId="0" applyNumberFormat="1"/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164" fontId="4" fillId="4" borderId="1" xfId="1" applyFont="1" applyFill="1" applyBorder="1"/>
    <xf numFmtId="164" fontId="4" fillId="4" borderId="18" xfId="1" applyFont="1" applyFill="1" applyBorder="1"/>
    <xf numFmtId="0" fontId="4" fillId="0" borderId="5" xfId="0" applyFont="1" applyBorder="1"/>
    <xf numFmtId="164" fontId="4" fillId="4" borderId="12" xfId="1" applyFont="1" applyFill="1" applyBorder="1"/>
    <xf numFmtId="164" fontId="4" fillId="4" borderId="4" xfId="1" applyFont="1" applyFill="1" applyBorder="1" applyAlignment="1">
      <alignment horizontal="right"/>
    </xf>
    <xf numFmtId="165" fontId="4" fillId="4" borderId="11" xfId="2" applyNumberFormat="1" applyFont="1" applyFill="1" applyBorder="1"/>
    <xf numFmtId="165" fontId="4" fillId="4" borderId="5" xfId="2" applyNumberFormat="1" applyFont="1" applyFill="1" applyBorder="1"/>
    <xf numFmtId="165" fontId="4" fillId="0" borderId="11" xfId="0" applyNumberFormat="1" applyFont="1" applyBorder="1"/>
    <xf numFmtId="165" fontId="4" fillId="0" borderId="5" xfId="0" applyNumberFormat="1" applyFont="1" applyBorder="1"/>
    <xf numFmtId="165" fontId="4" fillId="4" borderId="11" xfId="1" applyNumberFormat="1" applyFont="1" applyFill="1" applyBorder="1" applyAlignment="1">
      <alignment horizontal="right"/>
    </xf>
    <xf numFmtId="164" fontId="7" fillId="4" borderId="12" xfId="1" applyFont="1" applyFill="1" applyBorder="1"/>
    <xf numFmtId="0" fontId="4" fillId="0" borderId="11" xfId="0" applyFont="1" applyBorder="1"/>
    <xf numFmtId="164" fontId="4" fillId="4" borderId="19" xfId="1" applyFont="1" applyFill="1" applyBorder="1"/>
    <xf numFmtId="164" fontId="4" fillId="4" borderId="14" xfId="1" applyFont="1" applyFill="1" applyBorder="1" applyAlignment="1">
      <alignment horizontal="right"/>
    </xf>
    <xf numFmtId="164" fontId="7" fillId="4" borderId="8" xfId="1" applyFont="1" applyFill="1" applyBorder="1"/>
    <xf numFmtId="164" fontId="7" fillId="4" borderId="9" xfId="1" applyFont="1" applyFill="1" applyBorder="1" applyAlignment="1">
      <alignment horizontal="right"/>
    </xf>
    <xf numFmtId="165" fontId="7" fillId="4" borderId="2" xfId="2" applyNumberFormat="1" applyFont="1" applyFill="1" applyBorder="1"/>
    <xf numFmtId="0" fontId="7" fillId="0" borderId="20" xfId="0" applyFont="1" applyBorder="1"/>
    <xf numFmtId="164" fontId="7" fillId="4" borderId="6" xfId="1" applyFont="1" applyFill="1" applyBorder="1" applyAlignment="1">
      <alignment horizontal="right"/>
    </xf>
    <xf numFmtId="164" fontId="7" fillId="4" borderId="1" xfId="1" applyFont="1" applyFill="1" applyBorder="1"/>
    <xf numFmtId="164" fontId="4" fillId="4" borderId="9" xfId="1" applyFont="1" applyFill="1" applyBorder="1" applyAlignment="1">
      <alignment horizontal="right"/>
    </xf>
    <xf numFmtId="164" fontId="4" fillId="4" borderId="11" xfId="1" applyFont="1" applyFill="1" applyBorder="1" applyAlignment="1">
      <alignment horizontal="right"/>
    </xf>
    <xf numFmtId="3" fontId="4" fillId="4" borderId="9" xfId="2" applyNumberFormat="1" applyFont="1" applyFill="1" applyBorder="1"/>
    <xf numFmtId="3" fontId="4" fillId="4" borderId="11" xfId="1" applyNumberFormat="1" applyFont="1" applyFill="1" applyBorder="1"/>
    <xf numFmtId="165" fontId="4" fillId="4" borderId="9" xfId="2" applyNumberFormat="1" applyFont="1" applyFill="1" applyBorder="1"/>
    <xf numFmtId="3" fontId="4" fillId="4" borderId="5" xfId="1" applyNumberFormat="1" applyFont="1" applyFill="1" applyBorder="1"/>
    <xf numFmtId="165" fontId="4" fillId="4" borderId="10" xfId="2" applyNumberFormat="1" applyFont="1" applyFill="1" applyBorder="1"/>
    <xf numFmtId="3" fontId="4" fillId="4" borderId="17" xfId="1" applyNumberFormat="1" applyFont="1" applyFill="1" applyBorder="1"/>
    <xf numFmtId="164" fontId="7" fillId="4" borderId="11" xfId="1" applyFont="1" applyFill="1" applyBorder="1" applyAlignment="1">
      <alignment horizontal="right"/>
    </xf>
    <xf numFmtId="9" fontId="4" fillId="4" borderId="11" xfId="1" applyNumberFormat="1" applyFont="1" applyFill="1" applyBorder="1"/>
    <xf numFmtId="3" fontId="4" fillId="4" borderId="9" xfId="1" applyNumberFormat="1" applyFont="1" applyFill="1" applyBorder="1"/>
    <xf numFmtId="3" fontId="4" fillId="4" borderId="10" xfId="1" applyNumberFormat="1" applyFont="1" applyFill="1" applyBorder="1"/>
    <xf numFmtId="164" fontId="7" fillId="4" borderId="11" xfId="1" applyFont="1" applyFill="1" applyBorder="1"/>
    <xf numFmtId="164" fontId="4" fillId="4" borderId="11" xfId="1" applyFont="1" applyFill="1" applyBorder="1"/>
    <xf numFmtId="164" fontId="4" fillId="4" borderId="5" xfId="1" applyFont="1" applyFill="1" applyBorder="1"/>
    <xf numFmtId="164" fontId="4" fillId="4" borderId="12" xfId="1" applyFont="1" applyFill="1" applyBorder="1" applyAlignment="1">
      <alignment horizontal="left"/>
    </xf>
    <xf numFmtId="0" fontId="5" fillId="2" borderId="0" xfId="0" applyFont="1" applyFill="1" applyBorder="1"/>
    <xf numFmtId="4" fontId="0" fillId="0" borderId="0" xfId="0" applyNumberFormat="1"/>
    <xf numFmtId="3" fontId="4" fillId="0" borderId="4" xfId="1" applyNumberFormat="1" applyFont="1" applyFill="1" applyBorder="1"/>
    <xf numFmtId="2" fontId="4" fillId="4" borderId="11" xfId="2" applyNumberFormat="1" applyFont="1" applyFill="1" applyBorder="1" applyAlignment="1">
      <alignment horizontal="right"/>
    </xf>
    <xf numFmtId="2" fontId="4" fillId="0" borderId="11" xfId="0" applyNumberFormat="1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4" fillId="0" borderId="22" xfId="0" applyNumberFormat="1" applyFont="1" applyBorder="1"/>
    <xf numFmtId="0" fontId="4" fillId="0" borderId="3" xfId="0" applyFont="1" applyBorder="1" applyAlignment="1">
      <alignment horizontal="right"/>
    </xf>
    <xf numFmtId="164" fontId="4" fillId="0" borderId="13" xfId="0" applyNumberFormat="1" applyFont="1" applyBorder="1"/>
    <xf numFmtId="164" fontId="4" fillId="0" borderId="23" xfId="0" applyNumberFormat="1" applyFont="1" applyBorder="1"/>
    <xf numFmtId="0" fontId="4" fillId="0" borderId="14" xfId="0" applyFont="1" applyBorder="1" applyAlignment="1">
      <alignment horizontal="right"/>
    </xf>
    <xf numFmtId="3" fontId="4" fillId="0" borderId="22" xfId="0" applyNumberFormat="1" applyFont="1" applyBorder="1"/>
    <xf numFmtId="3" fontId="4" fillId="0" borderId="13" xfId="0" applyNumberFormat="1" applyFont="1" applyBorder="1"/>
    <xf numFmtId="3" fontId="4" fillId="0" borderId="23" xfId="0" applyNumberFormat="1" applyFont="1" applyBorder="1"/>
    <xf numFmtId="3" fontId="0" fillId="0" borderId="0" xfId="0" applyNumberFormat="1"/>
    <xf numFmtId="164" fontId="4" fillId="0" borderId="0" xfId="0" applyNumberFormat="1" applyFont="1" applyBorder="1"/>
    <xf numFmtId="164" fontId="5" fillId="3" borderId="11" xfId="1" applyFont="1" applyFill="1" applyBorder="1" applyAlignment="1">
      <alignment horizontal="right"/>
    </xf>
    <xf numFmtId="164" fontId="7" fillId="4" borderId="24" xfId="1" applyFont="1" applyFill="1" applyBorder="1"/>
    <xf numFmtId="164" fontId="7" fillId="4" borderId="14" xfId="1" applyFont="1" applyFill="1" applyBorder="1" applyAlignment="1">
      <alignment horizontal="right"/>
    </xf>
    <xf numFmtId="0" fontId="0" fillId="0" borderId="0" xfId="0" applyFont="1" applyBorder="1"/>
    <xf numFmtId="166" fontId="10" fillId="0" borderId="0" xfId="3" applyNumberFormat="1" applyFont="1" applyBorder="1"/>
    <xf numFmtId="2" fontId="0" fillId="0" borderId="0" xfId="0" applyNumberFormat="1" applyFont="1"/>
    <xf numFmtId="0" fontId="0" fillId="0" borderId="0" xfId="0" applyFont="1"/>
    <xf numFmtId="4" fontId="0" fillId="0" borderId="0" xfId="0" applyNumberFormat="1" applyFont="1"/>
    <xf numFmtId="3" fontId="4" fillId="0" borderId="3" xfId="0" applyNumberFormat="1" applyFont="1" applyBorder="1"/>
    <xf numFmtId="3" fontId="4" fillId="0" borderId="11" xfId="0" applyNumberFormat="1" applyFont="1" applyBorder="1"/>
    <xf numFmtId="3" fontId="4" fillId="0" borderId="14" xfId="0" applyNumberFormat="1" applyFont="1" applyBorder="1"/>
    <xf numFmtId="164" fontId="5" fillId="3" borderId="25" xfId="1" applyFont="1" applyFill="1" applyBorder="1"/>
    <xf numFmtId="164" fontId="5" fillId="3" borderId="26" xfId="1" applyFont="1" applyFill="1" applyBorder="1" applyAlignment="1">
      <alignment horizontal="right"/>
    </xf>
    <xf numFmtId="0" fontId="6" fillId="3" borderId="27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9" fontId="4" fillId="4" borderId="17" xfId="1" applyNumberFormat="1" applyFont="1" applyFill="1" applyBorder="1"/>
    <xf numFmtId="3" fontId="4" fillId="0" borderId="5" xfId="1" applyNumberFormat="1" applyFont="1" applyFill="1" applyBorder="1"/>
    <xf numFmtId="3" fontId="4" fillId="4" borderId="28" xfId="2" applyNumberFormat="1" applyFont="1" applyFill="1" applyBorder="1"/>
    <xf numFmtId="165" fontId="4" fillId="4" borderId="17" xfId="2" applyNumberFormat="1" applyFont="1" applyFill="1" applyBorder="1"/>
    <xf numFmtId="165" fontId="4" fillId="4" borderId="17" xfId="1" applyNumberFormat="1" applyFont="1" applyFill="1" applyBorder="1" applyAlignment="1">
      <alignment horizontal="right"/>
    </xf>
    <xf numFmtId="2" fontId="4" fillId="4" borderId="17" xfId="2" applyNumberFormat="1" applyFont="1" applyFill="1" applyBorder="1" applyAlignment="1">
      <alignment horizontal="right"/>
    </xf>
    <xf numFmtId="2" fontId="4" fillId="0" borderId="17" xfId="0" applyNumberFormat="1" applyFont="1" applyBorder="1"/>
    <xf numFmtId="165" fontId="7" fillId="4" borderId="10" xfId="2" applyNumberFormat="1" applyFont="1" applyFill="1" applyBorder="1"/>
    <xf numFmtId="165" fontId="7" fillId="4" borderId="29" xfId="2" applyNumberFormat="1" applyFont="1" applyFill="1" applyBorder="1"/>
    <xf numFmtId="9" fontId="4" fillId="4" borderId="5" xfId="1" applyNumberFormat="1" applyFont="1" applyFill="1" applyBorder="1"/>
    <xf numFmtId="164" fontId="5" fillId="3" borderId="17" xfId="1" applyFont="1" applyFill="1" applyBorder="1" applyAlignment="1">
      <alignment horizontal="right"/>
    </xf>
    <xf numFmtId="0" fontId="4" fillId="4" borderId="4" xfId="0" applyFont="1" applyFill="1" applyBorder="1"/>
    <xf numFmtId="0" fontId="4" fillId="4" borderId="0" xfId="0" applyFont="1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7" fillId="4" borderId="30" xfId="2" applyNumberFormat="1" applyFont="1" applyFill="1" applyBorder="1"/>
    <xf numFmtId="165" fontId="7" fillId="4" borderId="31" xfId="2" applyNumberFormat="1" applyFont="1" applyFill="1" applyBorder="1"/>
    <xf numFmtId="164" fontId="7" fillId="0" borderId="24" xfId="1" applyFont="1" applyFill="1" applyBorder="1"/>
    <xf numFmtId="0" fontId="4" fillId="0" borderId="32" xfId="0" applyFont="1" applyBorder="1" applyAlignment="1">
      <alignment horizontal="right"/>
    </xf>
    <xf numFmtId="165" fontId="4" fillId="0" borderId="14" xfId="1" applyNumberFormat="1" applyFont="1" applyFill="1" applyBorder="1"/>
    <xf numFmtId="165" fontId="4" fillId="0" borderId="5" xfId="1" applyNumberFormat="1" applyFont="1" applyFill="1" applyBorder="1"/>
    <xf numFmtId="165" fontId="7" fillId="4" borderId="33" xfId="2" applyNumberFormat="1" applyFont="1" applyFill="1" applyBorder="1"/>
    <xf numFmtId="9" fontId="0" fillId="0" borderId="0" xfId="0" applyNumberFormat="1" applyFont="1"/>
    <xf numFmtId="0" fontId="1" fillId="3" borderId="2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4"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6">
          <cell r="D6">
            <v>9.7595833333333335</v>
          </cell>
        </row>
        <row r="7">
          <cell r="D7">
            <v>11.611111111111111</v>
          </cell>
          <cell r="E7">
            <v>10.3</v>
          </cell>
        </row>
        <row r="8">
          <cell r="D8">
            <v>13.9</v>
          </cell>
          <cell r="E8">
            <v>12.8</v>
          </cell>
        </row>
        <row r="48">
          <cell r="D48">
            <v>19.347380258899673</v>
          </cell>
        </row>
        <row r="49">
          <cell r="D49">
            <v>38.200000000000003</v>
          </cell>
        </row>
      </sheetData>
      <sheetData sheetId="1">
        <row r="6">
          <cell r="H6">
            <v>8.7378640776699026</v>
          </cell>
        </row>
        <row r="7">
          <cell r="H7">
            <v>9.7122302158273381</v>
          </cell>
        </row>
      </sheetData>
      <sheetData sheetId="2"/>
      <sheetData sheetId="3">
        <row r="1">
          <cell r="C1">
            <v>1.07973174366617</v>
          </cell>
        </row>
        <row r="15">
          <cell r="C15">
            <v>1</v>
          </cell>
        </row>
        <row r="40">
          <cell r="C40">
            <v>20</v>
          </cell>
          <cell r="D40">
            <v>0.06</v>
          </cell>
          <cell r="E40">
            <v>1E-3</v>
          </cell>
        </row>
      </sheetData>
      <sheetData sheetId="4">
        <row r="10">
          <cell r="H10">
            <v>0.45719999999999994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5"/>
  <sheetViews>
    <sheetView tabSelected="1" topLeftCell="A8" workbookViewId="0">
      <selection activeCell="I37" sqref="I37"/>
    </sheetView>
  </sheetViews>
  <sheetFormatPr baseColWidth="10" defaultRowHeight="15" x14ac:dyDescent="0.25"/>
  <cols>
    <col min="1" max="1" width="16.85546875" customWidth="1"/>
    <col min="6" max="6" width="43.5703125" customWidth="1"/>
    <col min="7" max="7" width="16.28515625" customWidth="1"/>
    <col min="8" max="9" width="13.42578125" customWidth="1"/>
    <col min="10" max="11" width="14.28515625" bestFit="1" customWidth="1"/>
    <col min="12" max="13" width="13.28515625" bestFit="1" customWidth="1"/>
    <col min="14" max="14" width="24.42578125" customWidth="1"/>
    <col min="15" max="15" width="33.5703125" customWidth="1"/>
  </cols>
  <sheetData>
    <row r="3" spans="1:15" ht="15.75" thickBot="1" x14ac:dyDescent="0.3"/>
    <row r="4" spans="1:15" ht="15.75" thickBot="1" x14ac:dyDescent="0.3">
      <c r="A4" s="8"/>
      <c r="B4" s="8" t="s">
        <v>19</v>
      </c>
      <c r="C4" s="9"/>
      <c r="D4" s="18"/>
      <c r="F4" s="114" t="s">
        <v>24</v>
      </c>
      <c r="G4" s="115"/>
      <c r="H4" s="115"/>
      <c r="I4" s="115"/>
      <c r="J4" s="115"/>
      <c r="K4" s="115"/>
      <c r="L4" s="115"/>
      <c r="M4" s="116"/>
      <c r="N4" s="12"/>
      <c r="O4" s="12"/>
    </row>
    <row r="5" spans="1:15" x14ac:dyDescent="0.25">
      <c r="A5" s="8" t="s">
        <v>14</v>
      </c>
      <c r="B5" t="s">
        <v>13</v>
      </c>
      <c r="C5">
        <f>'[1]byggetid levetid rente'!$C$15</f>
        <v>1</v>
      </c>
      <c r="E5" s="11"/>
      <c r="F5" s="85"/>
      <c r="G5" s="86" t="s">
        <v>2</v>
      </c>
      <c r="H5" s="87"/>
      <c r="I5" s="87" t="s">
        <v>66</v>
      </c>
      <c r="J5" s="87"/>
      <c r="K5" s="88"/>
      <c r="L5" s="88"/>
      <c r="M5" s="89"/>
      <c r="N5" s="12"/>
      <c r="O5" s="12"/>
    </row>
    <row r="6" spans="1:15" x14ac:dyDescent="0.25">
      <c r="A6" s="8" t="s">
        <v>15</v>
      </c>
      <c r="B6" t="s">
        <v>13</v>
      </c>
      <c r="C6" s="77">
        <f>'[1]byggetid levetid rente'!$C$40</f>
        <v>20</v>
      </c>
      <c r="E6" s="11"/>
      <c r="F6" s="13" t="s">
        <v>3</v>
      </c>
      <c r="G6" s="74" t="s">
        <v>22</v>
      </c>
      <c r="H6" s="14">
        <v>0.01</v>
      </c>
      <c r="I6" s="14">
        <v>0.01</v>
      </c>
      <c r="J6" s="14">
        <v>0.15</v>
      </c>
      <c r="K6" s="14">
        <v>1</v>
      </c>
      <c r="L6" s="14">
        <v>10</v>
      </c>
      <c r="M6" s="100">
        <v>20</v>
      </c>
      <c r="N6" s="20" t="s">
        <v>12</v>
      </c>
      <c r="O6" s="20" t="s">
        <v>11</v>
      </c>
    </row>
    <row r="7" spans="1:15" ht="33.75" customHeight="1" x14ac:dyDescent="0.25">
      <c r="A7" s="8" t="s">
        <v>20</v>
      </c>
      <c r="B7" t="s">
        <v>18</v>
      </c>
      <c r="C7" s="19">
        <f>'[1]byggetid levetid rente'!$D$40</f>
        <v>0.06</v>
      </c>
      <c r="E7" s="11"/>
      <c r="F7" s="31" t="s">
        <v>43</v>
      </c>
      <c r="G7" s="49"/>
      <c r="H7" s="50">
        <v>1</v>
      </c>
      <c r="I7" s="50">
        <v>1</v>
      </c>
      <c r="J7" s="50">
        <v>1</v>
      </c>
      <c r="K7" s="50">
        <v>0.92</v>
      </c>
      <c r="L7" s="50">
        <v>0.92</v>
      </c>
      <c r="M7" s="99">
        <v>0.92</v>
      </c>
      <c r="N7" t="s">
        <v>55</v>
      </c>
      <c r="O7" s="103" t="s">
        <v>56</v>
      </c>
    </row>
    <row r="8" spans="1:15" x14ac:dyDescent="0.25">
      <c r="A8" s="8" t="s">
        <v>17</v>
      </c>
      <c r="B8" s="2" t="s">
        <v>21</v>
      </c>
      <c r="C8" s="78">
        <f>'[1]byggetid levetid rente'!$E$40</f>
        <v>1E-3</v>
      </c>
      <c r="E8" s="2"/>
      <c r="F8" s="75" t="s">
        <v>44</v>
      </c>
      <c r="G8" s="76"/>
      <c r="H8" s="50">
        <f>H7/$C$16*$C$15</f>
        <v>0.8870813397129188</v>
      </c>
      <c r="I8" s="50">
        <f>I7/$C$16*$C$15</f>
        <v>0.8870813397129188</v>
      </c>
      <c r="J8" s="50">
        <f t="shared" ref="J8:M8" si="0">J7/$C$16*$C$15</f>
        <v>0.8870813397129188</v>
      </c>
      <c r="K8" s="50">
        <f t="shared" si="0"/>
        <v>0.81611483253588535</v>
      </c>
      <c r="L8" s="50">
        <f t="shared" si="0"/>
        <v>0.81611483253588535</v>
      </c>
      <c r="M8" s="90">
        <f t="shared" si="0"/>
        <v>0.81611483253588535</v>
      </c>
    </row>
    <row r="9" spans="1:15" x14ac:dyDescent="0.25">
      <c r="A9" s="8" t="s">
        <v>27</v>
      </c>
      <c r="B9" s="2" t="s">
        <v>26</v>
      </c>
      <c r="C9" s="79">
        <f>'[1]byggetid levetid rente'!$C$1</f>
        <v>1.07973174366617</v>
      </c>
      <c r="D9" s="2"/>
      <c r="E9" s="2"/>
      <c r="F9" s="35" t="s">
        <v>4</v>
      </c>
      <c r="G9" s="41" t="s">
        <v>5</v>
      </c>
      <c r="H9" s="51">
        <v>2500</v>
      </c>
      <c r="I9" s="51">
        <v>2500</v>
      </c>
      <c r="J9" s="51">
        <v>2500</v>
      </c>
      <c r="K9" s="51">
        <v>2500</v>
      </c>
      <c r="L9" s="51">
        <v>2500</v>
      </c>
      <c r="M9" s="52">
        <v>2500</v>
      </c>
      <c r="N9" t="s">
        <v>55</v>
      </c>
    </row>
    <row r="10" spans="1:15" x14ac:dyDescent="0.25">
      <c r="A10" s="8" t="s">
        <v>67</v>
      </c>
      <c r="B10" t="s">
        <v>21</v>
      </c>
      <c r="C10" s="113">
        <v>0.25</v>
      </c>
      <c r="E10" s="2"/>
      <c r="F10" s="40" t="s">
        <v>6</v>
      </c>
      <c r="G10" s="49"/>
      <c r="H10" s="53"/>
      <c r="I10" s="53"/>
      <c r="J10" s="53"/>
      <c r="K10" s="53"/>
      <c r="L10" s="54"/>
      <c r="M10" s="55"/>
    </row>
    <row r="11" spans="1:15" x14ac:dyDescent="0.25">
      <c r="C11" s="80"/>
      <c r="E11" s="2"/>
      <c r="F11" s="21" t="s">
        <v>28</v>
      </c>
      <c r="G11" s="42" t="s">
        <v>23</v>
      </c>
      <c r="H11" s="44">
        <f>3000*C9</f>
        <v>3239.1952309985099</v>
      </c>
      <c r="I11" s="44">
        <f>3000*C9*(1+C10)</f>
        <v>4048.9940387481374</v>
      </c>
      <c r="J11" s="44">
        <f>700*C9</f>
        <v>755.81222056631896</v>
      </c>
      <c r="K11" s="44">
        <f>550*C9</f>
        <v>593.85245901639348</v>
      </c>
      <c r="L11" s="44">
        <f>360*C9</f>
        <v>388.70342771982121</v>
      </c>
      <c r="M11" s="46">
        <f>250*C9</f>
        <v>269.93293591654248</v>
      </c>
      <c r="N11" s="117" t="s">
        <v>57</v>
      </c>
      <c r="O11" s="118" t="s">
        <v>65</v>
      </c>
    </row>
    <row r="12" spans="1:15" x14ac:dyDescent="0.25">
      <c r="C12" s="80"/>
      <c r="D12" s="2"/>
      <c r="E12" s="2"/>
      <c r="F12" s="21" t="s">
        <v>29</v>
      </c>
      <c r="G12" s="42" t="s">
        <v>23</v>
      </c>
      <c r="H12" s="44">
        <f>3000*C9</f>
        <v>3239.1952309985099</v>
      </c>
      <c r="I12" s="44">
        <f>3000*C9*(1+C10)</f>
        <v>4048.9940387481374</v>
      </c>
      <c r="J12" s="44">
        <f>700*C9</f>
        <v>755.81222056631896</v>
      </c>
      <c r="K12" s="44">
        <f>175*C9</f>
        <v>188.95305514157974</v>
      </c>
      <c r="L12" s="44">
        <f>35*C9</f>
        <v>37.790611028315951</v>
      </c>
      <c r="M12" s="46">
        <f>20*C9</f>
        <v>21.5946348733234</v>
      </c>
      <c r="N12" s="117"/>
      <c r="O12" s="118"/>
    </row>
    <row r="13" spans="1:15" x14ac:dyDescent="0.25">
      <c r="C13" s="80"/>
      <c r="E13" s="10"/>
      <c r="F13" s="56" t="s">
        <v>7</v>
      </c>
      <c r="G13" s="42" t="s">
        <v>23</v>
      </c>
      <c r="H13" s="44">
        <f>1012.5*C9</f>
        <v>1093.2283904619972</v>
      </c>
      <c r="I13" s="44">
        <f>1012.5*C9*(1+C10)</f>
        <v>1366.5354880774964</v>
      </c>
      <c r="J13" s="44">
        <f>350.25*C9</f>
        <v>378.17604321907601</v>
      </c>
      <c r="K13" s="44">
        <f>227.025*C9</f>
        <v>245.12609910581224</v>
      </c>
      <c r="L13" s="44">
        <f>109.8*C9</f>
        <v>118.55454545454546</v>
      </c>
      <c r="M13" s="48">
        <f>86.925*C9</f>
        <v>93.855681818181822</v>
      </c>
      <c r="N13" s="117"/>
      <c r="O13" s="118"/>
    </row>
    <row r="14" spans="1:15" x14ac:dyDescent="0.25">
      <c r="A14" t="s">
        <v>46</v>
      </c>
      <c r="B14" s="2"/>
      <c r="C14" s="2"/>
      <c r="D14" s="10"/>
      <c r="E14" s="10"/>
      <c r="F14" s="21" t="s">
        <v>30</v>
      </c>
      <c r="G14" s="42" t="s">
        <v>23</v>
      </c>
      <c r="H14" s="44">
        <f>750*C9</f>
        <v>809.79880774962749</v>
      </c>
      <c r="I14" s="44">
        <f>750*C9*(1+C10)</f>
        <v>1012.2485096870344</v>
      </c>
      <c r="J14" s="44">
        <f>175*C9</f>
        <v>188.95305514157974</v>
      </c>
      <c r="K14" s="44">
        <f>137.5*C9</f>
        <v>148.46311475409837</v>
      </c>
      <c r="L14" s="44">
        <f>90*C9</f>
        <v>97.175856929955302</v>
      </c>
      <c r="M14" s="48">
        <f>62.5*C9</f>
        <v>67.483233979135619</v>
      </c>
      <c r="N14" s="117"/>
      <c r="O14" s="118"/>
    </row>
    <row r="15" spans="1:15" x14ac:dyDescent="0.25">
      <c r="A15" s="8" t="s">
        <v>45</v>
      </c>
      <c r="B15" s="2" t="s">
        <v>25</v>
      </c>
      <c r="C15" s="17">
        <f>'[1]Brennverdier og priser'!$E$7</f>
        <v>10.3</v>
      </c>
      <c r="D15" s="10"/>
      <c r="E15" s="10"/>
      <c r="F15" s="21" t="s">
        <v>31</v>
      </c>
      <c r="G15" s="42" t="s">
        <v>23</v>
      </c>
      <c r="H15" s="59">
        <f>SUM(H11:H14)*(((1+($C$7))*((1+$C$7)^($C$5)-1))/($C$7*$C$5))-SUM(H11:H14)</f>
        <v>502.88505961252667</v>
      </c>
      <c r="I15" s="59">
        <f>SUM(I11:I14)*(((1+($C$7))*((1+$C$7)^($C$5)-1))/($C$7*$C$5))-SUM(I11:I14)</f>
        <v>628.60632451565834</v>
      </c>
      <c r="J15" s="59">
        <f t="shared" ref="J15:M15" si="1">SUM(J11:J14)*(((1+($C$7))*((1+$C$7)^($C$5)-1))/($C$7*$C$5))-SUM(J11:J14)</f>
        <v>124.72521236959938</v>
      </c>
      <c r="K15" s="59">
        <f>SUM(K11:K14)*(((1+($C$7))*((1+$C$7)^($C$5)-1))/($C$7*$C$5))-SUM(K11:K14)</f>
        <v>70.583683681074035</v>
      </c>
      <c r="L15" s="59">
        <f>SUM(L11:L14)*(((1+($C$7))*((1+$C$7)^($C$5)-1))/($C$7*$C$5))-SUM(L11:L14)</f>
        <v>38.533466467958874</v>
      </c>
      <c r="M15" s="91">
        <f t="shared" si="1"/>
        <v>27.171989195231447</v>
      </c>
      <c r="N15" s="117"/>
      <c r="O15" s="118"/>
    </row>
    <row r="16" spans="1:15" x14ac:dyDescent="0.25">
      <c r="A16" s="8" t="s">
        <v>47</v>
      </c>
      <c r="B16" s="2" t="s">
        <v>25</v>
      </c>
      <c r="C16" s="17">
        <f>'[1]Brennverdier og priser'!$D$7</f>
        <v>11.611111111111111</v>
      </c>
      <c r="D16" s="10"/>
      <c r="E16" s="10"/>
      <c r="F16" s="21" t="s">
        <v>32</v>
      </c>
      <c r="G16" s="42" t="s">
        <v>23</v>
      </c>
      <c r="H16" s="44"/>
      <c r="I16" s="44"/>
      <c r="J16" s="44">
        <f>760*C9</f>
        <v>820.59612518628921</v>
      </c>
      <c r="K16" s="44">
        <f>651*C9</f>
        <v>702.90536512667666</v>
      </c>
      <c r="L16" s="44">
        <f>247*C9</f>
        <v>266.69374068554396</v>
      </c>
      <c r="M16" s="46">
        <f>247*C9</f>
        <v>266.69374068554396</v>
      </c>
    </row>
    <row r="17" spans="1:15" x14ac:dyDescent="0.25">
      <c r="A17" s="8" t="s">
        <v>16</v>
      </c>
      <c r="B17" s="2" t="s">
        <v>48</v>
      </c>
      <c r="C17" s="17">
        <f>'[1]Brennverdier og priser'!$D$48</f>
        <v>19.347380258899673</v>
      </c>
      <c r="D17" s="10"/>
      <c r="E17" s="10"/>
      <c r="F17" s="21" t="s">
        <v>33</v>
      </c>
      <c r="G17" s="42" t="s">
        <v>23</v>
      </c>
      <c r="H17" s="59">
        <f>(H16+SUM(H11:H14))*(((1+($C$7))*((1+$C$7)^($C$5)-1))/($C$7*$C$5))-SUM(H11:H14)-H16</f>
        <v>502.88505961252667</v>
      </c>
      <c r="I17" s="59">
        <f>(I16+SUM(I11:I14))*(((1+($C$7))*((1+$C$7)^($C$5)-1))/($C$7*$C$5))-SUM(I11:I14)-I16</f>
        <v>628.60632451565834</v>
      </c>
      <c r="J17" s="59">
        <f t="shared" ref="J17:L17" si="2">(J16+SUM(J11:J14))*(((1+($C$7))*((1+$C$7)^($C$5)-1))/($C$7*$C$5))-SUM(J11:J14)-J16</f>
        <v>173.9609798807777</v>
      </c>
      <c r="K17" s="59">
        <f t="shared" si="2"/>
        <v>112.75800558867525</v>
      </c>
      <c r="L17" s="59">
        <f t="shared" si="2"/>
        <v>54.535090909091764</v>
      </c>
      <c r="M17" s="91">
        <f>(M16+SUM(M11:M14))*(((1+($C$7))*((1+$C$7)^($C$5)-1))/($C$7*$C$5))-SUM(M11:M14)-M16</f>
        <v>43.17361363636428</v>
      </c>
    </row>
    <row r="18" spans="1:15" x14ac:dyDescent="0.25">
      <c r="A18" s="57" t="s">
        <v>9</v>
      </c>
      <c r="B18" s="2" t="s">
        <v>48</v>
      </c>
      <c r="C18" s="80">
        <f>'[1]NOX avgift'!$H$10</f>
        <v>0.45719999999999994</v>
      </c>
      <c r="F18" s="35" t="s">
        <v>40</v>
      </c>
      <c r="G18" s="41" t="s">
        <v>23</v>
      </c>
      <c r="H18" s="43">
        <f>SUM(H11:H15)</f>
        <v>8884.3027198211712</v>
      </c>
      <c r="I18" s="43">
        <f>SUM(I11:I15)</f>
        <v>11105.378399776464</v>
      </c>
      <c r="J18" s="43">
        <f t="shared" ref="J18:M18" si="3">SUM(J11:J15)</f>
        <v>2203.4787518628932</v>
      </c>
      <c r="K18" s="43">
        <f t="shared" si="3"/>
        <v>1246.9784116989579</v>
      </c>
      <c r="L18" s="43">
        <f t="shared" si="3"/>
        <v>680.75790760059681</v>
      </c>
      <c r="M18" s="92">
        <f t="shared" si="3"/>
        <v>480.03847578241476</v>
      </c>
    </row>
    <row r="19" spans="1:15" x14ac:dyDescent="0.25">
      <c r="A19" s="57" t="s">
        <v>8</v>
      </c>
      <c r="B19" s="2" t="s">
        <v>48</v>
      </c>
      <c r="C19" s="81">
        <f>'[1]CO2-avgift, grunnavgift'!$H$6</f>
        <v>8.7378640776699026</v>
      </c>
      <c r="F19" s="35" t="s">
        <v>41</v>
      </c>
      <c r="G19" s="41" t="s">
        <v>23</v>
      </c>
      <c r="H19" s="43">
        <f>SUM(H11:H14)+H16+H17</f>
        <v>8884.3027198211712</v>
      </c>
      <c r="I19" s="43">
        <f>SUM(I11:I14)+I16+I17</f>
        <v>11105.378399776464</v>
      </c>
      <c r="J19" s="43">
        <f t="shared" ref="J19:M19" si="4">SUM(J11:J14)+J16+J17</f>
        <v>3073.3106445603607</v>
      </c>
      <c r="K19" s="43">
        <f t="shared" si="4"/>
        <v>1992.0580987332355</v>
      </c>
      <c r="L19" s="43">
        <f t="shared" si="4"/>
        <v>963.45327272727366</v>
      </c>
      <c r="M19" s="92">
        <f t="shared" si="4"/>
        <v>762.73384090909155</v>
      </c>
    </row>
    <row r="20" spans="1:15" ht="45" x14ac:dyDescent="0.25">
      <c r="C20" s="80"/>
      <c r="F20" s="40" t="s">
        <v>38</v>
      </c>
      <c r="G20" s="42" t="s">
        <v>42</v>
      </c>
      <c r="H20" s="44">
        <f>400*C9</f>
        <v>431.89269746646801</v>
      </c>
      <c r="I20" s="44">
        <f>400*C9*(1+C10)</f>
        <v>539.86587183308507</v>
      </c>
      <c r="J20" s="44">
        <f>30*C9</f>
        <v>32.391952309985101</v>
      </c>
      <c r="K20" s="44">
        <f>4*C9</f>
        <v>4.3189269746646799</v>
      </c>
      <c r="L20" s="44">
        <f>4*C9</f>
        <v>4.3189269746646799</v>
      </c>
      <c r="M20" s="46">
        <f>2*C9</f>
        <v>2.1594634873323399</v>
      </c>
      <c r="N20" s="103" t="s">
        <v>57</v>
      </c>
      <c r="O20" s="103" t="s">
        <v>58</v>
      </c>
    </row>
    <row r="21" spans="1:15" ht="45" x14ac:dyDescent="0.25">
      <c r="C21" s="80"/>
      <c r="F21" s="35" t="s">
        <v>39</v>
      </c>
      <c r="G21" s="41" t="s">
        <v>0</v>
      </c>
      <c r="H21" s="45">
        <f>1*C9</f>
        <v>1.07973174366617</v>
      </c>
      <c r="I21" s="45">
        <f>1*C9*(1+C10)</f>
        <v>1.3496646795827125</v>
      </c>
      <c r="J21" s="45">
        <f>1*C9</f>
        <v>1.07973174366617</v>
      </c>
      <c r="K21" s="45">
        <f>1*C9</f>
        <v>1.07973174366617</v>
      </c>
      <c r="L21" s="45">
        <f>0.3*C9</f>
        <v>0.323919523099851</v>
      </c>
      <c r="M21" s="47">
        <f>0.3*C9</f>
        <v>0.323919523099851</v>
      </c>
      <c r="N21" s="103" t="s">
        <v>57</v>
      </c>
      <c r="O21" s="103" t="s">
        <v>58</v>
      </c>
    </row>
    <row r="22" spans="1:15" x14ac:dyDescent="0.25">
      <c r="A22" t="s">
        <v>49</v>
      </c>
      <c r="B22" s="2"/>
      <c r="C22" s="2"/>
      <c r="F22" s="22" t="s">
        <v>34</v>
      </c>
      <c r="G22" s="25" t="s">
        <v>50</v>
      </c>
      <c r="H22" s="26">
        <f t="shared" ref="H22:M22" si="5">1/H7</f>
        <v>1</v>
      </c>
      <c r="I22" s="26">
        <f t="shared" si="5"/>
        <v>1</v>
      </c>
      <c r="J22" s="26">
        <f t="shared" si="5"/>
        <v>1</v>
      </c>
      <c r="K22" s="26">
        <f t="shared" si="5"/>
        <v>1.0869565217391304</v>
      </c>
      <c r="L22" s="26">
        <f t="shared" si="5"/>
        <v>1.0869565217391304</v>
      </c>
      <c r="M22" s="93">
        <f t="shared" si="5"/>
        <v>1.0869565217391304</v>
      </c>
    </row>
    <row r="23" spans="1:15" x14ac:dyDescent="0.25">
      <c r="A23" s="8" t="s">
        <v>45</v>
      </c>
      <c r="B23" s="2" t="s">
        <v>25</v>
      </c>
      <c r="C23" s="17">
        <f>'[1]Brennverdier og priser'!$E$8</f>
        <v>12.8</v>
      </c>
      <c r="F23" s="24" t="s">
        <v>36</v>
      </c>
      <c r="G23" s="101"/>
      <c r="H23" s="28"/>
      <c r="I23" s="28"/>
      <c r="J23" s="28"/>
      <c r="K23" s="28"/>
      <c r="L23" s="28"/>
      <c r="M23" s="29"/>
    </row>
    <row r="24" spans="1:15" x14ac:dyDescent="0.25">
      <c r="A24" s="8" t="s">
        <v>47</v>
      </c>
      <c r="B24" s="2" t="s">
        <v>25</v>
      </c>
      <c r="C24" s="17">
        <f>'[1]Brennverdier og priser'!$D$8</f>
        <v>13.9</v>
      </c>
      <c r="F24" s="24" t="s">
        <v>35</v>
      </c>
      <c r="G24" s="102" t="s">
        <v>48</v>
      </c>
      <c r="H24" s="30">
        <f>$C$17</f>
        <v>19.347380258899673</v>
      </c>
      <c r="I24" s="30">
        <f>$C$17*(1+C10)</f>
        <v>24.184225323624592</v>
      </c>
      <c r="J24" s="30">
        <f t="shared" ref="J24:M24" si="6">$C$17</f>
        <v>19.347380258899673</v>
      </c>
      <c r="K24" s="30">
        <f t="shared" si="6"/>
        <v>19.347380258899673</v>
      </c>
      <c r="L24" s="30">
        <f t="shared" si="6"/>
        <v>19.347380258899673</v>
      </c>
      <c r="M24" s="94">
        <f t="shared" si="6"/>
        <v>19.347380258899673</v>
      </c>
    </row>
    <row r="25" spans="1:15" x14ac:dyDescent="0.25">
      <c r="A25" s="8" t="s">
        <v>16</v>
      </c>
      <c r="B25" s="2" t="s">
        <v>48</v>
      </c>
      <c r="C25" s="17">
        <f>'[1]Brennverdier og priser'!$D$49</f>
        <v>38.200000000000003</v>
      </c>
      <c r="F25" s="24" t="s">
        <v>37</v>
      </c>
      <c r="G25" s="102" t="s">
        <v>48</v>
      </c>
      <c r="H25" s="26">
        <f>$C$25</f>
        <v>38.200000000000003</v>
      </c>
      <c r="I25" s="26">
        <f>$C$25*(1+C10)</f>
        <v>47.75</v>
      </c>
      <c r="J25" s="26">
        <f t="shared" ref="J25:M25" si="7">$C$25</f>
        <v>38.200000000000003</v>
      </c>
      <c r="K25" s="26">
        <f t="shared" si="7"/>
        <v>38.200000000000003</v>
      </c>
      <c r="L25" s="26">
        <f t="shared" si="7"/>
        <v>38.200000000000003</v>
      </c>
      <c r="M25" s="93">
        <f t="shared" si="7"/>
        <v>38.200000000000003</v>
      </c>
      <c r="N25" s="103"/>
      <c r="O25" s="103"/>
    </row>
    <row r="26" spans="1:15" x14ac:dyDescent="0.25">
      <c r="A26" s="57" t="s">
        <v>9</v>
      </c>
      <c r="B26" s="2" t="s">
        <v>48</v>
      </c>
      <c r="C26" s="80">
        <f>'[1]NOX avgift'!$H$10</f>
        <v>0.45719999999999994</v>
      </c>
      <c r="F26" s="1" t="s">
        <v>8</v>
      </c>
      <c r="G26" s="25"/>
      <c r="H26" s="26"/>
      <c r="I26" s="26"/>
      <c r="J26" s="26"/>
      <c r="K26" s="26"/>
      <c r="L26" s="26"/>
      <c r="M26" s="27"/>
    </row>
    <row r="27" spans="1:15" x14ac:dyDescent="0.25">
      <c r="A27" s="57" t="s">
        <v>8</v>
      </c>
      <c r="B27" s="2" t="s">
        <v>48</v>
      </c>
      <c r="C27" s="58">
        <f>'[1]CO2-avgift, grunnavgift'!$H$7</f>
        <v>9.7122302158273381</v>
      </c>
      <c r="F27" s="24" t="s">
        <v>35</v>
      </c>
      <c r="G27" s="102" t="s">
        <v>48</v>
      </c>
      <c r="H27" s="26">
        <f>$C$19</f>
        <v>8.7378640776699026</v>
      </c>
      <c r="I27" s="26">
        <f>$C$19*(1+C10)</f>
        <v>10.922330097087379</v>
      </c>
      <c r="J27" s="26">
        <f t="shared" ref="J27:M27" si="8">$C$19</f>
        <v>8.7378640776699026</v>
      </c>
      <c r="K27" s="26">
        <f t="shared" si="8"/>
        <v>8.7378640776699026</v>
      </c>
      <c r="L27" s="26">
        <f t="shared" si="8"/>
        <v>8.7378640776699026</v>
      </c>
      <c r="M27" s="93">
        <f t="shared" si="8"/>
        <v>8.7378640776699026</v>
      </c>
    </row>
    <row r="28" spans="1:15" x14ac:dyDescent="0.25">
      <c r="F28" s="24" t="s">
        <v>37</v>
      </c>
      <c r="G28" s="102" t="s">
        <v>48</v>
      </c>
      <c r="H28" s="26">
        <f>$C$27</f>
        <v>9.7122302158273381</v>
      </c>
      <c r="I28" s="26">
        <f>$C$27*(1+C10)</f>
        <v>12.140287769784173</v>
      </c>
      <c r="J28" s="26">
        <f t="shared" ref="J28:M28" si="9">$C$27</f>
        <v>9.7122302158273381</v>
      </c>
      <c r="K28" s="26">
        <f t="shared" si="9"/>
        <v>9.7122302158273381</v>
      </c>
      <c r="L28" s="26">
        <f t="shared" si="9"/>
        <v>9.7122302158273381</v>
      </c>
      <c r="M28" s="93">
        <f t="shared" si="9"/>
        <v>9.7122302158273381</v>
      </c>
    </row>
    <row r="29" spans="1:15" x14ac:dyDescent="0.25">
      <c r="F29" s="1" t="s">
        <v>9</v>
      </c>
      <c r="G29" s="25"/>
      <c r="H29" s="26"/>
      <c r="I29" s="26"/>
      <c r="J29" s="26"/>
      <c r="K29" s="26"/>
      <c r="L29" s="26"/>
      <c r="M29" s="27"/>
    </row>
    <row r="30" spans="1:15" x14ac:dyDescent="0.25">
      <c r="F30" s="24" t="s">
        <v>35</v>
      </c>
      <c r="G30" s="102" t="s">
        <v>48</v>
      </c>
      <c r="H30" s="26">
        <v>0</v>
      </c>
      <c r="I30" s="26">
        <v>0</v>
      </c>
      <c r="J30" s="26">
        <v>0</v>
      </c>
      <c r="K30" s="26">
        <v>0</v>
      </c>
      <c r="L30" s="60">
        <f>$C$18</f>
        <v>0.45719999999999994</v>
      </c>
      <c r="M30" s="95">
        <f>$C$18</f>
        <v>0.45719999999999994</v>
      </c>
    </row>
    <row r="31" spans="1:15" x14ac:dyDescent="0.25">
      <c r="F31" s="24" t="s">
        <v>37</v>
      </c>
      <c r="G31" s="102" t="s">
        <v>48</v>
      </c>
      <c r="H31" s="26">
        <v>0</v>
      </c>
      <c r="I31" s="26">
        <v>0</v>
      </c>
      <c r="J31" s="26">
        <v>0</v>
      </c>
      <c r="K31" s="26">
        <v>0</v>
      </c>
      <c r="L31" s="61">
        <f>$C$26</f>
        <v>0.45719999999999994</v>
      </c>
      <c r="M31" s="96">
        <f>$C$26</f>
        <v>0.45719999999999994</v>
      </c>
    </row>
    <row r="32" spans="1:15" x14ac:dyDescent="0.25">
      <c r="F32" s="31" t="s">
        <v>54</v>
      </c>
      <c r="G32" s="101"/>
      <c r="H32" s="32"/>
      <c r="I32" s="32"/>
      <c r="J32" s="32"/>
      <c r="K32" s="32"/>
      <c r="L32" s="32"/>
      <c r="M32" s="23"/>
    </row>
    <row r="33" spans="6:15" x14ac:dyDescent="0.25">
      <c r="F33" s="24" t="s">
        <v>35</v>
      </c>
      <c r="G33" s="25" t="s">
        <v>0</v>
      </c>
      <c r="H33" s="26">
        <f>(H24+H27+H30)*H22</f>
        <v>28.085244336569573</v>
      </c>
      <c r="I33" s="26">
        <f>(I24+I27+I30)*I22</f>
        <v>35.10655542071197</v>
      </c>
      <c r="J33" s="26">
        <f t="shared" ref="J33:M33" si="10">(J24+J27+J30)*J22</f>
        <v>28.085244336569573</v>
      </c>
      <c r="K33" s="26">
        <f t="shared" si="10"/>
        <v>30.527439496271274</v>
      </c>
      <c r="L33" s="26">
        <f t="shared" si="10"/>
        <v>31.024396018010403</v>
      </c>
      <c r="M33" s="93">
        <f t="shared" si="10"/>
        <v>31.024396018010403</v>
      </c>
    </row>
    <row r="34" spans="6:15" x14ac:dyDescent="0.25">
      <c r="F34" s="33" t="s">
        <v>37</v>
      </c>
      <c r="G34" s="34" t="s">
        <v>0</v>
      </c>
      <c r="H34" s="26">
        <f>(H25+H28+H31)*H22</f>
        <v>47.912230215827343</v>
      </c>
      <c r="I34" s="26">
        <f>(I25+I28+I31)*I22</f>
        <v>59.890287769784173</v>
      </c>
      <c r="J34" s="26">
        <f t="shared" ref="J34:M34" si="11">(J25+J28+J31)*J22</f>
        <v>47.912230215827343</v>
      </c>
      <c r="K34" s="26">
        <f t="shared" si="11"/>
        <v>52.07851110416015</v>
      </c>
      <c r="L34" s="26">
        <f t="shared" si="11"/>
        <v>52.575467625899286</v>
      </c>
      <c r="M34" s="93">
        <f t="shared" si="11"/>
        <v>52.575467625899286</v>
      </c>
    </row>
    <row r="35" spans="6:15" x14ac:dyDescent="0.25">
      <c r="F35" s="35" t="s">
        <v>59</v>
      </c>
      <c r="G35" s="36" t="s">
        <v>0</v>
      </c>
      <c r="H35" s="37">
        <f>SUM(H44:H47)/H48</f>
        <v>78.053354824747998</v>
      </c>
      <c r="I35" s="37">
        <f>SUM(I44:I47)/I48</f>
        <v>97.566693530934998</v>
      </c>
      <c r="J35" s="37">
        <f t="shared" ref="J35:M35" si="12">SUM(J44:J47)/J48</f>
        <v>38.455272490647218</v>
      </c>
      <c r="K35" s="37">
        <f t="shared" si="12"/>
        <v>36.818831333235217</v>
      </c>
      <c r="L35" s="37">
        <f t="shared" si="12"/>
        <v>34.394079387060025</v>
      </c>
      <c r="M35" s="97">
        <f t="shared" si="12"/>
        <v>33.532384087509698</v>
      </c>
    </row>
    <row r="36" spans="6:15" ht="15.75" thickBot="1" x14ac:dyDescent="0.3">
      <c r="F36" s="38" t="s">
        <v>60</v>
      </c>
      <c r="G36" s="39" t="s">
        <v>0</v>
      </c>
      <c r="H36" s="112">
        <f>SUM(H51:H54)/H55</f>
        <v>98.041599849983413</v>
      </c>
      <c r="I36" s="112">
        <f>SUM(I51:I54)/I55</f>
        <v>122.55199981247929</v>
      </c>
      <c r="J36" s="112">
        <f t="shared" ref="J36:M36" si="13">SUM(J51:J54)/J55</f>
        <v>61.501625741161291</v>
      </c>
      <c r="K36" s="112">
        <f t="shared" si="13"/>
        <v>61.392479322130143</v>
      </c>
      <c r="L36" s="112">
        <f t="shared" si="13"/>
        <v>57.200742646245878</v>
      </c>
      <c r="M36" s="98">
        <f t="shared" si="13"/>
        <v>56.339047346695551</v>
      </c>
    </row>
    <row r="37" spans="6:15" ht="52.5" customHeight="1" x14ac:dyDescent="0.25">
      <c r="F37" s="108" t="s">
        <v>61</v>
      </c>
      <c r="G37" s="109"/>
      <c r="H37" s="110">
        <v>1</v>
      </c>
      <c r="I37" s="110">
        <v>1</v>
      </c>
      <c r="J37" s="110">
        <v>1</v>
      </c>
      <c r="K37" s="110">
        <v>1</v>
      </c>
      <c r="L37" s="110">
        <v>1</v>
      </c>
      <c r="M37" s="111">
        <v>1</v>
      </c>
      <c r="N37" s="117" t="s">
        <v>64</v>
      </c>
      <c r="O37" s="118"/>
    </row>
    <row r="38" spans="6:15" x14ac:dyDescent="0.25">
      <c r="F38" s="35" t="s">
        <v>62</v>
      </c>
      <c r="G38" s="36" t="s">
        <v>0</v>
      </c>
      <c r="H38" s="37">
        <f>H$37*H35</f>
        <v>78.053354824747998</v>
      </c>
      <c r="I38" s="37">
        <f>I$37*I35</f>
        <v>97.566693530934998</v>
      </c>
      <c r="J38" s="37">
        <f t="shared" ref="J38:M39" si="14">J$37*J35</f>
        <v>38.455272490647218</v>
      </c>
      <c r="K38" s="37">
        <f t="shared" si="14"/>
        <v>36.818831333235217</v>
      </c>
      <c r="L38" s="37">
        <f t="shared" si="14"/>
        <v>34.394079387060025</v>
      </c>
      <c r="M38" s="97">
        <f t="shared" si="14"/>
        <v>33.532384087509698</v>
      </c>
      <c r="N38" s="104"/>
      <c r="O38" s="105"/>
    </row>
    <row r="39" spans="6:15" ht="15.75" thickBot="1" x14ac:dyDescent="0.3">
      <c r="F39" s="38" t="s">
        <v>63</v>
      </c>
      <c r="G39" s="39" t="s">
        <v>0</v>
      </c>
      <c r="H39" s="106">
        <f>H$37*H36</f>
        <v>98.041599849983413</v>
      </c>
      <c r="I39" s="106">
        <f>I$37*I36</f>
        <v>122.55199981247929</v>
      </c>
      <c r="J39" s="106">
        <f t="shared" si="14"/>
        <v>61.501625741161291</v>
      </c>
      <c r="K39" s="106">
        <f t="shared" si="14"/>
        <v>61.392479322130143</v>
      </c>
      <c r="L39" s="106">
        <f t="shared" si="14"/>
        <v>57.200742646245878</v>
      </c>
      <c r="M39" s="107">
        <f t="shared" si="14"/>
        <v>56.339047346695551</v>
      </c>
      <c r="N39" s="104"/>
      <c r="O39" s="105"/>
    </row>
    <row r="40" spans="6:15" x14ac:dyDescent="0.25">
      <c r="F40" s="3"/>
      <c r="G40" s="62"/>
      <c r="H40" s="4"/>
      <c r="I40" s="4"/>
      <c r="J40" s="4"/>
      <c r="K40" s="4"/>
      <c r="L40" s="4"/>
      <c r="M40" s="4"/>
      <c r="N40" s="104"/>
      <c r="O40" s="105"/>
    </row>
    <row r="41" spans="6:15" x14ac:dyDescent="0.25">
      <c r="F41" s="7"/>
      <c r="G41" s="62"/>
      <c r="H41" s="6"/>
      <c r="I41" s="6"/>
      <c r="J41" s="6"/>
      <c r="K41" s="6"/>
      <c r="L41" s="6"/>
      <c r="M41" s="6"/>
    </row>
    <row r="42" spans="6:15" x14ac:dyDescent="0.25">
      <c r="F42" t="s">
        <v>51</v>
      </c>
      <c r="G42" s="63"/>
      <c r="H42" s="15"/>
      <c r="I42" s="15"/>
      <c r="J42" s="15"/>
      <c r="K42" s="15"/>
      <c r="L42" s="15"/>
      <c r="M42" s="15"/>
    </row>
    <row r="43" spans="6:15" x14ac:dyDescent="0.25">
      <c r="F43" t="s">
        <v>46</v>
      </c>
      <c r="G43" s="16"/>
    </row>
    <row r="44" spans="6:15" x14ac:dyDescent="0.25">
      <c r="F44" s="64" t="s">
        <v>6</v>
      </c>
      <c r="G44" s="65" t="s">
        <v>10</v>
      </c>
      <c r="H44" s="69">
        <f t="shared" ref="H44:M44" si="15">H6*100*1000*H18</f>
        <v>8884302.7198211718</v>
      </c>
      <c r="I44" s="69">
        <f t="shared" si="15"/>
        <v>11105378.399776464</v>
      </c>
      <c r="J44" s="69">
        <f t="shared" si="15"/>
        <v>33052181.277943399</v>
      </c>
      <c r="K44" s="69">
        <f t="shared" si="15"/>
        <v>124697841.16989578</v>
      </c>
      <c r="L44" s="69">
        <f t="shared" si="15"/>
        <v>680757907.60059679</v>
      </c>
      <c r="M44" s="82">
        <f t="shared" si="15"/>
        <v>960076951.56482947</v>
      </c>
      <c r="N44" s="73"/>
    </row>
    <row r="45" spans="6:15" x14ac:dyDescent="0.25">
      <c r="F45" s="66" t="s">
        <v>52</v>
      </c>
      <c r="G45" s="5" t="s">
        <v>10</v>
      </c>
      <c r="H45" s="70">
        <f t="shared" ref="H45:M45" si="16">-PV($C$7,$C$6,H6*100*1000*H20)</f>
        <v>4953775.2148140296</v>
      </c>
      <c r="I45" s="70">
        <f t="shared" si="16"/>
        <v>6192219.018517537</v>
      </c>
      <c r="J45" s="70">
        <f t="shared" si="16"/>
        <v>5572997.1166657824</v>
      </c>
      <c r="K45" s="70">
        <f t="shared" si="16"/>
        <v>4953775.2148140287</v>
      </c>
      <c r="L45" s="70">
        <f t="shared" si="16"/>
        <v>49537752.148140289</v>
      </c>
      <c r="M45" s="83">
        <f t="shared" si="16"/>
        <v>49537752.148140289</v>
      </c>
      <c r="N45" s="6"/>
    </row>
    <row r="46" spans="6:15" x14ac:dyDescent="0.25">
      <c r="F46" s="54" t="s">
        <v>39</v>
      </c>
      <c r="G46" s="5" t="s">
        <v>10</v>
      </c>
      <c r="H46" s="70">
        <f t="shared" ref="H46:M46" si="17">-PV($C$7,$C$6,H21*H9*1000*H6*H7)</f>
        <v>309610.95092587679</v>
      </c>
      <c r="I46" s="70">
        <f t="shared" si="17"/>
        <v>387013.68865734607</v>
      </c>
      <c r="J46" s="70">
        <f t="shared" si="17"/>
        <v>4644164.2638881523</v>
      </c>
      <c r="K46" s="70">
        <f t="shared" si="17"/>
        <v>28484207.485180669</v>
      </c>
      <c r="L46" s="70">
        <f t="shared" si="17"/>
        <v>85452622.455542013</v>
      </c>
      <c r="M46" s="83">
        <f t="shared" si="17"/>
        <v>170905244.91108403</v>
      </c>
      <c r="N46" s="6"/>
    </row>
    <row r="47" spans="6:15" x14ac:dyDescent="0.25">
      <c r="F47" s="54" t="s">
        <v>54</v>
      </c>
      <c r="G47" s="5" t="s">
        <v>10</v>
      </c>
      <c r="H47" s="70">
        <f t="shared" ref="H47:M47" si="18">-PV($C$7,$C$6,H9*H33*1000*H6*H7)</f>
        <v>8053388.4986152295</v>
      </c>
      <c r="I47" s="70">
        <f t="shared" si="18"/>
        <v>10066735.623269038</v>
      </c>
      <c r="J47" s="70">
        <f t="shared" si="18"/>
        <v>120800827.47922845</v>
      </c>
      <c r="K47" s="70">
        <f t="shared" si="18"/>
        <v>805338849.86152303</v>
      </c>
      <c r="L47" s="70">
        <f t="shared" si="18"/>
        <v>8184489698.1434307</v>
      </c>
      <c r="M47" s="83">
        <f t="shared" si="18"/>
        <v>16368979396.286861</v>
      </c>
      <c r="N47" s="6"/>
    </row>
    <row r="48" spans="6:15" x14ac:dyDescent="0.25">
      <c r="F48" s="67" t="s">
        <v>53</v>
      </c>
      <c r="G48" s="68" t="s">
        <v>1</v>
      </c>
      <c r="H48" s="71">
        <f t="shared" ref="H48:M48" si="19">-PV($C$7+$C$8,$C$6,H9*H7*H6*1000)</f>
        <v>284434.63364289782</v>
      </c>
      <c r="I48" s="71">
        <f t="shared" si="19"/>
        <v>284434.63364289782</v>
      </c>
      <c r="J48" s="71">
        <f t="shared" si="19"/>
        <v>4266519.5046434682</v>
      </c>
      <c r="K48" s="71">
        <f t="shared" si="19"/>
        <v>26167986.295146603</v>
      </c>
      <c r="L48" s="71">
        <f t="shared" si="19"/>
        <v>261679862.95146602</v>
      </c>
      <c r="M48" s="84">
        <f t="shared" si="19"/>
        <v>523359725.90293205</v>
      </c>
      <c r="N48" s="6"/>
    </row>
    <row r="49" spans="6:13" x14ac:dyDescent="0.25">
      <c r="H49" s="72"/>
      <c r="I49" s="72"/>
      <c r="J49" s="72"/>
      <c r="K49" s="72"/>
      <c r="L49" s="72"/>
      <c r="M49" s="72"/>
    </row>
    <row r="50" spans="6:13" x14ac:dyDescent="0.25">
      <c r="F50" t="s">
        <v>49</v>
      </c>
      <c r="G50" s="16"/>
      <c r="H50" s="72"/>
      <c r="I50" s="72"/>
      <c r="J50" s="72"/>
      <c r="K50" s="72"/>
      <c r="L50" s="72"/>
      <c r="M50" s="72"/>
    </row>
    <row r="51" spans="6:13" x14ac:dyDescent="0.25">
      <c r="F51" s="64" t="s">
        <v>6</v>
      </c>
      <c r="G51" s="65" t="s">
        <v>10</v>
      </c>
      <c r="H51" s="69">
        <f t="shared" ref="H51:M51" si="20">H6*100*1000*H19</f>
        <v>8884302.7198211718</v>
      </c>
      <c r="I51" s="69">
        <f t="shared" si="20"/>
        <v>11105378.399776464</v>
      </c>
      <c r="J51" s="69">
        <f t="shared" si="20"/>
        <v>46099659.668405414</v>
      </c>
      <c r="K51" s="69">
        <f t="shared" si="20"/>
        <v>199205809.87332356</v>
      </c>
      <c r="L51" s="69">
        <f t="shared" si="20"/>
        <v>963453272.7272737</v>
      </c>
      <c r="M51" s="82">
        <f t="shared" si="20"/>
        <v>1525467681.8181832</v>
      </c>
    </row>
    <row r="52" spans="6:13" x14ac:dyDescent="0.25">
      <c r="F52" s="66" t="s">
        <v>52</v>
      </c>
      <c r="G52" s="5" t="s">
        <v>10</v>
      </c>
      <c r="H52" s="70">
        <f t="shared" ref="H52:M52" si="21">-PV($C$7,$C$6,H6*100*1000*H20)</f>
        <v>4953775.2148140296</v>
      </c>
      <c r="I52" s="70">
        <f t="shared" si="21"/>
        <v>6192219.018517537</v>
      </c>
      <c r="J52" s="70">
        <f t="shared" si="21"/>
        <v>5572997.1166657824</v>
      </c>
      <c r="K52" s="70">
        <f t="shared" si="21"/>
        <v>4953775.2148140287</v>
      </c>
      <c r="L52" s="70">
        <f t="shared" si="21"/>
        <v>49537752.148140289</v>
      </c>
      <c r="M52" s="83">
        <f t="shared" si="21"/>
        <v>49537752.148140289</v>
      </c>
    </row>
    <row r="53" spans="6:13" x14ac:dyDescent="0.25">
      <c r="F53" s="54" t="s">
        <v>39</v>
      </c>
      <c r="G53" s="5" t="s">
        <v>10</v>
      </c>
      <c r="H53" s="70">
        <f t="shared" ref="H53:M53" si="22">-PV($C$7,$C$6,H21*H9*1000*H6*H7)</f>
        <v>309610.95092587679</v>
      </c>
      <c r="I53" s="70">
        <f t="shared" si="22"/>
        <v>387013.68865734607</v>
      </c>
      <c r="J53" s="70">
        <f t="shared" si="22"/>
        <v>4644164.2638881523</v>
      </c>
      <c r="K53" s="70">
        <f t="shared" si="22"/>
        <v>28484207.485180669</v>
      </c>
      <c r="L53" s="70">
        <f t="shared" si="22"/>
        <v>85452622.455542013</v>
      </c>
      <c r="M53" s="83">
        <f t="shared" si="22"/>
        <v>170905244.91108403</v>
      </c>
    </row>
    <row r="54" spans="6:13" x14ac:dyDescent="0.25">
      <c r="F54" s="54" t="s">
        <v>54</v>
      </c>
      <c r="G54" s="5" t="s">
        <v>10</v>
      </c>
      <c r="H54" s="70">
        <f t="shared" ref="H54:M54" si="23">-PV($C$7,$C$6,H9*H34*1000*H6*H7)</f>
        <v>13738737.649532543</v>
      </c>
      <c r="I54" s="70">
        <f t="shared" si="23"/>
        <v>17173422.061915681</v>
      </c>
      <c r="J54" s="70">
        <f t="shared" si="23"/>
        <v>206081064.74298811</v>
      </c>
      <c r="K54" s="70">
        <f t="shared" si="23"/>
        <v>1373873764.9532545</v>
      </c>
      <c r="L54" s="70">
        <f t="shared" si="23"/>
        <v>13869838849.060743</v>
      </c>
      <c r="M54" s="83">
        <f t="shared" si="23"/>
        <v>27739677698.121487</v>
      </c>
    </row>
    <row r="55" spans="6:13" x14ac:dyDescent="0.25">
      <c r="F55" s="67" t="s">
        <v>53</v>
      </c>
      <c r="G55" s="68" t="s">
        <v>1</v>
      </c>
      <c r="H55" s="71">
        <f>-PV($C$7+$C$8,$C$6,H9*H7*H6*1000)</f>
        <v>284434.63364289782</v>
      </c>
      <c r="I55" s="71">
        <f>-PV($C$7+$C$8,$C$6,I9*I7*I6*1000)</f>
        <v>284434.63364289782</v>
      </c>
      <c r="J55" s="71">
        <f t="shared" ref="J55:M55" si="24">-PV($C$7+$C$8,$C$6,J9*J7*J6*1000)</f>
        <v>4266519.5046434682</v>
      </c>
      <c r="K55" s="71">
        <f t="shared" si="24"/>
        <v>26167986.295146603</v>
      </c>
      <c r="L55" s="71">
        <f t="shared" si="24"/>
        <v>261679862.95146602</v>
      </c>
      <c r="M55" s="84">
        <f t="shared" si="24"/>
        <v>523359725.90293205</v>
      </c>
    </row>
  </sheetData>
  <mergeCells count="4">
    <mergeCell ref="F4:M4"/>
    <mergeCell ref="N11:N15"/>
    <mergeCell ref="O11:O15"/>
    <mergeCell ref="N37:O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2017-03-17T14:16:02Z</dcterms:modified>
</cp:coreProperties>
</file>