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I18" i="2" l="1"/>
  <c r="J18" i="2"/>
  <c r="C11" i="2"/>
  <c r="I21" i="2" s="1"/>
  <c r="K18" i="2"/>
  <c r="J8" i="2"/>
  <c r="I8" i="2"/>
  <c r="H8" i="2"/>
  <c r="H18" i="2" s="1"/>
  <c r="C13" i="2" l="1"/>
  <c r="C5" i="2"/>
  <c r="C6" i="2"/>
  <c r="C4" i="2"/>
  <c r="C3" i="2"/>
  <c r="J36" i="2" l="1"/>
  <c r="K37" i="2"/>
  <c r="I36" i="2"/>
  <c r="H37" i="2"/>
  <c r="I37" i="2"/>
  <c r="H36" i="2"/>
  <c r="J37" i="2"/>
  <c r="J34" i="2"/>
  <c r="K36" i="2"/>
  <c r="K13" i="2"/>
  <c r="H16" i="2"/>
  <c r="H33" i="2" s="1"/>
  <c r="I11" i="2"/>
  <c r="H12" i="2"/>
  <c r="K24" i="2"/>
  <c r="K34" i="2" s="1"/>
  <c r="K12" i="2"/>
  <c r="K10" i="2"/>
  <c r="H24" i="2"/>
  <c r="H34" i="2" s="1"/>
  <c r="J12" i="2"/>
  <c r="J10" i="2"/>
  <c r="H13" i="2"/>
  <c r="J24" i="2"/>
  <c r="K11" i="2"/>
  <c r="J13" i="2"/>
  <c r="J11" i="2"/>
  <c r="I13" i="2"/>
  <c r="I10" i="2"/>
  <c r="H10" i="2"/>
  <c r="I24" i="2"/>
  <c r="I34" i="2" s="1"/>
  <c r="K16" i="2"/>
  <c r="K33" i="2" s="1"/>
  <c r="I12" i="2"/>
  <c r="J16" i="2"/>
  <c r="J33" i="2" s="1"/>
  <c r="I16" i="2"/>
  <c r="I33" i="2" s="1"/>
  <c r="H11" i="2"/>
  <c r="I14" i="2" l="1"/>
  <c r="I15" i="2" s="1"/>
  <c r="H14" i="2"/>
  <c r="H15" i="2" s="1"/>
  <c r="H32" i="2" s="1"/>
  <c r="C12" i="2"/>
  <c r="I22" i="2" s="1"/>
  <c r="J21" i="2"/>
  <c r="C10" i="2"/>
  <c r="I20" i="2" s="1"/>
  <c r="C8" i="2"/>
  <c r="I32" i="2" l="1"/>
  <c r="K22" i="2"/>
  <c r="J20" i="2"/>
  <c r="H20" i="2"/>
  <c r="K20" i="2"/>
  <c r="K21" i="2"/>
  <c r="J22" i="2"/>
  <c r="C9" i="2"/>
  <c r="C7" i="2"/>
  <c r="K7" i="2" s="1"/>
  <c r="H19" i="2" l="1"/>
  <c r="H23" i="2" s="1"/>
  <c r="H35" i="2" s="1"/>
  <c r="I19" i="2"/>
  <c r="I23" i="2" s="1"/>
  <c r="I35" i="2" s="1"/>
  <c r="I7" i="2"/>
  <c r="H7" i="2"/>
  <c r="J7" i="2"/>
  <c r="K19" i="2"/>
  <c r="K23" i="2" s="1"/>
  <c r="J19" i="2"/>
  <c r="J23" i="2" s="1"/>
  <c r="J35" i="2" s="1"/>
  <c r="K35" i="2" l="1"/>
  <c r="K14" i="2"/>
  <c r="K15" i="2" s="1"/>
  <c r="J14" i="2"/>
  <c r="J15" i="2" s="1"/>
  <c r="J32" i="2" s="1"/>
  <c r="F35" i="2"/>
  <c r="F34" i="2"/>
  <c r="F33" i="2"/>
  <c r="F32" i="2"/>
  <c r="K32" i="2" l="1"/>
  <c r="J25" i="2" l="1"/>
  <c r="J27" i="2" s="1"/>
  <c r="K25" i="2"/>
  <c r="K27" i="2" s="1"/>
  <c r="I25" i="2" l="1"/>
  <c r="I27" i="2" s="1"/>
  <c r="H25" i="2"/>
  <c r="H27" i="2" s="1"/>
</calcChain>
</file>

<file path=xl/sharedStrings.xml><?xml version="1.0" encoding="utf-8"?>
<sst xmlns="http://schemas.openxmlformats.org/spreadsheetml/2006/main" count="92" uniqueCount="61">
  <si>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</si>
  <si>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</si>
  <si>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</si>
  <si>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</si>
  <si>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</si>
  <si>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</si>
  <si>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</si>
  <si>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</si>
  <si>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</si>
  <si>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</si>
  <si>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</si>
  <si>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</si>
  <si>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</si>
  <si>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</si>
  <si>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</si>
  <si>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</si>
  <si>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CO2-avgift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</si>
  <si>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</si>
  <si>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</si>
  <si>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</si>
  <si>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</si>
  <si>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</si>
  <si>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</si>
  <si>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</si>
  <si>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</si>
  <si>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</si>
  <si>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</si>
  <si>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</si>
  <si>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</si>
  <si>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</si>
  <si>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</si>
  <si>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</si>
  <si>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</si>
  <si>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</si>
  <si>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</si>
  <si>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</si>
  <si>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</si>
  <si>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</si>
  <si>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</si>
  <si>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kWh/Sm3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</si>
  <si>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</si>
  <si>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</si>
  <si>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</si>
  <si>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</si>
  <si>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</si>
  <si>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</si>
  <si>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</si>
  <si>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</si>
  <si>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</si>
  <si>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</si>
  <si>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</si>
  <si>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</si>
  <si>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Justert opp fra Kostnader i energisektoren 2015 vha infasjonsindeks</t>
  </si>
  <si>
    <t>Sum brensels- og utslippskostnader</t>
  </si>
  <si>
    <t>Virkningsgrad (øvre  brennverdi)</t>
  </si>
  <si>
    <t>Elandel</t>
  </si>
  <si>
    <t>Produsert varme</t>
  </si>
  <si>
    <t>Gassturbin med avgasskjel</t>
  </si>
  <si>
    <t xml:space="preserve">Elforsk 14:40 El från nya och framtida anläggningar, IEA ETSAP (2010) Gas-Fired Power </t>
  </si>
  <si>
    <t>Momentanvirkningsgrad basert på nedre brennverdi. Årsvirkningsgrad er ca 5 % lavere</t>
  </si>
  <si>
    <t>Kostnadsutvikling er sterkt avhengig av brenselspris og utslippskostnader. Brensels- og utslipskostnader er antatt konstant her. Teknologi er moden. Utviklingen er knyttet til økt fleksibiliteten, forbedring av virkningsgraden. Investeringskostnader kan forventes å synke med 5 %.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</si>
</sst>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  <numFmt numFmtId="168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</cellStyleXfs>
  <cellXfs count="98">
    <xf numFmtId="0" fontId="0" fillId="0" borderId="0" xfId="0"/>
    <xf numFmtId="164" fontId="7" fillId="0" borderId="1" xfId="1" applyFont="1" applyFill="1" applyBorder="1"/>
    <xf numFmtId="164" fontId="7" fillId="0" borderId="12" xfId="1" applyFont="1" applyFill="1" applyBorder="1"/>
    <xf numFmtId="164" fontId="7" fillId="0" borderId="2" xfId="1" applyFont="1" applyFill="1" applyBorder="1"/>
    <xf numFmtId="164" fontId="7" fillId="0" borderId="15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5" xfId="1" applyFont="1" applyFill="1" applyBorder="1" applyAlignment="1">
      <alignment horizontal="right"/>
    </xf>
    <xf numFmtId="3" fontId="4" fillId="0" borderId="8" xfId="1" applyNumberFormat="1" applyFont="1" applyFill="1" applyBorder="1"/>
    <xf numFmtId="164" fontId="4" fillId="0" borderId="2" xfId="1" applyFont="1" applyFill="1" applyBorder="1"/>
    <xf numFmtId="164" fontId="4" fillId="0" borderId="13" xfId="1" applyFont="1" applyFill="1" applyBorder="1" applyAlignment="1">
      <alignment horizontal="right"/>
    </xf>
    <xf numFmtId="165" fontId="4" fillId="0" borderId="8" xfId="2" applyNumberFormat="1" applyFont="1" applyFill="1" applyBorder="1"/>
    <xf numFmtId="165" fontId="4" fillId="0" borderId="8" xfId="1" applyNumberFormat="1" applyFont="1" applyFill="1" applyBorder="1"/>
    <xf numFmtId="164" fontId="4" fillId="0" borderId="16" xfId="1" applyFont="1" applyFill="1" applyBorder="1" applyAlignment="1">
      <alignment horizontal="right"/>
    </xf>
    <xf numFmtId="165" fontId="4" fillId="0" borderId="17" xfId="2" applyNumberFormat="1" applyFont="1" applyFill="1" applyBorder="1"/>
    <xf numFmtId="164" fontId="7" fillId="0" borderId="18" xfId="1" applyFont="1" applyFill="1" applyBorder="1"/>
    <xf numFmtId="164" fontId="7" fillId="0" borderId="19" xfId="1" applyFont="1" applyFill="1" applyBorder="1" applyAlignment="1">
      <alignment horizontal="right"/>
    </xf>
    <xf numFmtId="165" fontId="7" fillId="0" borderId="19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2" applyNumberFormat="1" applyFont="1" applyFill="1" applyBorder="1"/>
    <xf numFmtId="165" fontId="9" fillId="0" borderId="0" xfId="1" applyNumberFormat="1" applyFont="1" applyFill="1" applyBorder="1"/>
    <xf numFmtId="0" fontId="4" fillId="0" borderId="15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0" xfId="0" applyFont="1" applyFill="1" applyBorder="1"/>
    <xf numFmtId="0" fontId="5" fillId="2" borderId="21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7" xfId="1" applyFont="1" applyFill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4" fontId="5" fillId="3" borderId="8" xfId="1" applyFont="1" applyFill="1" applyBorder="1" applyAlignment="1">
      <alignment horizontal="right"/>
    </xf>
    <xf numFmtId="164" fontId="5" fillId="3" borderId="9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3" fontId="4" fillId="0" borderId="9" xfId="1" applyNumberFormat="1" applyFont="1" applyFill="1" applyBorder="1"/>
    <xf numFmtId="165" fontId="4" fillId="0" borderId="9" xfId="2" applyNumberFormat="1" applyFont="1" applyFill="1" applyBorder="1"/>
    <xf numFmtId="165" fontId="4" fillId="0" borderId="9" xfId="1" applyNumberFormat="1" applyFont="1" applyFill="1" applyBorder="1"/>
    <xf numFmtId="165" fontId="4" fillId="0" borderId="22" xfId="2" applyNumberFormat="1" applyFont="1" applyFill="1" applyBorder="1"/>
    <xf numFmtId="165" fontId="7" fillId="0" borderId="23" xfId="0" applyNumberFormat="1" applyFont="1" applyFill="1" applyBorder="1"/>
    <xf numFmtId="2" fontId="0" fillId="0" borderId="0" xfId="0" applyNumberFormat="1"/>
    <xf numFmtId="0" fontId="5" fillId="2" borderId="24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40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2" fontId="4" fillId="0" borderId="8" xfId="1" applyNumberFormat="1" applyFont="1" applyFill="1" applyBorder="1"/>
    <xf numFmtId="167" fontId="4" fillId="0" borderId="8" xfId="1" applyNumberFormat="1" applyFont="1" applyFill="1" applyBorder="1"/>
    <xf numFmtId="0" fontId="0" fillId="0" borderId="0" xfId="0" applyAlignment="1">
      <alignment horizontal="center" wrapText="1"/>
    </xf>
    <xf numFmtId="164" fontId="7" fillId="0" borderId="8" xfId="1" applyFont="1" applyFill="1" applyBorder="1"/>
    <xf numFmtId="164" fontId="5" fillId="3" borderId="15" xfId="1" applyFont="1" applyFill="1" applyBorder="1" applyAlignment="1">
      <alignment horizontal="right"/>
    </xf>
    <xf numFmtId="3" fontId="4" fillId="0" borderId="3" xfId="1" applyNumberFormat="1" applyFont="1" applyFill="1" applyBorder="1"/>
    <xf numFmtId="9" fontId="4" fillId="0" borderId="3" xfId="1" applyNumberFormat="1" applyFont="1" applyFill="1" applyBorder="1"/>
    <xf numFmtId="9" fontId="9" fillId="0" borderId="3" xfId="1" applyNumberFormat="1" applyFont="1" applyFill="1" applyBorder="1"/>
    <xf numFmtId="164" fontId="7" fillId="0" borderId="25" xfId="1" applyFont="1" applyFill="1" applyBorder="1"/>
    <xf numFmtId="3" fontId="4" fillId="0" borderId="17" xfId="2" applyNumberFormat="1" applyFont="1" applyFill="1" applyBorder="1"/>
    <xf numFmtId="3" fontId="4" fillId="0" borderId="8" xfId="4" applyNumberFormat="1" applyFont="1" applyFill="1" applyBorder="1"/>
    <xf numFmtId="1" fontId="4" fillId="0" borderId="8" xfId="4" applyNumberFormat="1" applyFont="1" applyFill="1" applyBorder="1"/>
    <xf numFmtId="3" fontId="4" fillId="0" borderId="14" xfId="1" applyNumberFormat="1" applyFont="1" applyFill="1" applyBorder="1"/>
    <xf numFmtId="9" fontId="4" fillId="0" borderId="14" xfId="1" applyNumberFormat="1" applyFont="1" applyFill="1" applyBorder="1"/>
    <xf numFmtId="9" fontId="9" fillId="0" borderId="14" xfId="1" applyNumberFormat="1" applyFont="1" applyFill="1" applyBorder="1"/>
    <xf numFmtId="164" fontId="7" fillId="0" borderId="9" xfId="1" applyFont="1" applyFill="1" applyBorder="1"/>
    <xf numFmtId="3" fontId="4" fillId="0" borderId="9" xfId="4" applyNumberFormat="1" applyFont="1" applyFill="1" applyBorder="1"/>
    <xf numFmtId="1" fontId="4" fillId="0" borderId="9" xfId="4" applyNumberFormat="1" applyFont="1" applyFill="1" applyBorder="1"/>
    <xf numFmtId="3" fontId="4" fillId="0" borderId="26" xfId="4" applyNumberFormat="1" applyFont="1" applyFill="1" applyBorder="1"/>
    <xf numFmtId="3" fontId="4" fillId="0" borderId="22" xfId="2" applyNumberFormat="1" applyFont="1" applyFill="1" applyBorder="1"/>
    <xf numFmtId="2" fontId="4" fillId="0" borderId="9" xfId="1" applyNumberFormat="1" applyFont="1" applyFill="1" applyBorder="1"/>
    <xf numFmtId="167" fontId="4" fillId="0" borderId="9" xfId="1" applyNumberFormat="1" applyFont="1" applyFill="1" applyBorder="1"/>
    <xf numFmtId="164" fontId="7" fillId="0" borderId="10" xfId="1" applyFont="1" applyFill="1" applyBorder="1" applyAlignment="1">
      <alignment horizontal="right"/>
    </xf>
    <xf numFmtId="0" fontId="0" fillId="0" borderId="0" xfId="0" applyFont="1" applyBorder="1"/>
    <xf numFmtId="166" fontId="10" fillId="0" borderId="0" xfId="3" applyNumberFormat="1" applyFont="1" applyBorder="1"/>
    <xf numFmtId="4" fontId="0" fillId="0" borderId="0" xfId="0" applyNumberFormat="1" applyFont="1"/>
    <xf numFmtId="9" fontId="4" fillId="0" borderId="8" xfId="1" applyNumberFormat="1" applyFont="1" applyFill="1" applyBorder="1"/>
    <xf numFmtId="9" fontId="4" fillId="0" borderId="9" xfId="1" applyNumberFormat="1" applyFont="1" applyFill="1" applyBorder="1"/>
    <xf numFmtId="43" fontId="4" fillId="0" borderId="0" xfId="0" applyNumberFormat="1" applyFont="1"/>
    <xf numFmtId="164" fontId="4" fillId="0" borderId="27" xfId="0" applyNumberFormat="1" applyFont="1" applyBorder="1"/>
    <xf numFmtId="0" fontId="4" fillId="0" borderId="28" xfId="0" applyFont="1" applyBorder="1" applyAlignment="1">
      <alignment horizontal="right"/>
    </xf>
    <xf numFmtId="168" fontId="4" fillId="0" borderId="29" xfId="5" applyNumberFormat="1" applyFont="1" applyBorder="1"/>
    <xf numFmtId="164" fontId="4" fillId="0" borderId="30" xfId="0" applyNumberFormat="1" applyFont="1" applyBorder="1"/>
    <xf numFmtId="168" fontId="4" fillId="0" borderId="8" xfId="5" applyNumberFormat="1" applyFont="1" applyBorder="1"/>
    <xf numFmtId="164" fontId="4" fillId="0" borderId="31" xfId="0" applyNumberFormat="1" applyFont="1" applyBorder="1"/>
    <xf numFmtId="0" fontId="4" fillId="0" borderId="32" xfId="0" applyFont="1" applyBorder="1" applyAlignment="1">
      <alignment horizontal="right"/>
    </xf>
    <xf numFmtId="168" fontId="4" fillId="0" borderId="17" xfId="5" applyNumberFormat="1" applyFont="1" applyFill="1" applyBorder="1" applyAlignment="1">
      <alignment horizontal="right"/>
    </xf>
    <xf numFmtId="4" fontId="4" fillId="0" borderId="11" xfId="1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</cellXfs>
  <cellStyles count="6">
    <cellStyle name="Komma" xfId="5" builtinId="3"/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sskj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7">
          <cell r="D7">
            <v>11.611111111111111</v>
          </cell>
          <cell r="E7">
            <v>10.3</v>
          </cell>
        </row>
        <row r="48">
          <cell r="D48">
            <v>19.347380258899673</v>
          </cell>
        </row>
      </sheetData>
      <sheetData sheetId="1">
        <row r="6">
          <cell r="H6">
            <v>8.7378640776699026</v>
          </cell>
        </row>
      </sheetData>
      <sheetData sheetId="2">
        <row r="4">
          <cell r="E4">
            <v>0.96601941747572806</v>
          </cell>
        </row>
      </sheetData>
      <sheetData sheetId="3">
        <row r="1">
          <cell r="C1">
            <v>1.07973174366617</v>
          </cell>
        </row>
        <row r="17">
          <cell r="C17">
            <v>1</v>
          </cell>
        </row>
        <row r="42">
          <cell r="C42">
            <v>20</v>
          </cell>
          <cell r="D42">
            <v>0.06</v>
          </cell>
          <cell r="E42">
            <v>1E-3</v>
          </cell>
        </row>
      </sheetData>
      <sheetData sheetId="4">
        <row r="5">
          <cell r="H5">
            <v>0.33537864077669893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tnad 2016"/>
    </sheetNames>
    <sheetDataSet>
      <sheetData sheetId="0">
        <row r="5">
          <cell r="C5">
            <v>1</v>
          </cell>
        </row>
        <row r="35">
          <cell r="J35">
            <v>36.818831333235217</v>
          </cell>
          <cell r="K35">
            <v>34.394079387060025</v>
          </cell>
          <cell r="L35">
            <v>33.532384087509698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5" workbookViewId="0">
      <selection activeCell="H25" sqref="H25"/>
    </sheetView>
  </sheetViews>
  <sheetFormatPr baseColWidth="10" defaultRowHeight="15" x14ac:dyDescent="0.25"/>
  <cols>
    <col min="1" max="1" width="21.5703125" customWidth="1"/>
    <col min="6" max="6" width="34.28515625" customWidth="1"/>
    <col min="7" max="9" width="16.140625" customWidth="1"/>
    <col min="10" max="10" width="13.42578125" customWidth="1"/>
    <col min="11" max="11" width="16.7109375" bestFit="1" customWidth="1"/>
    <col min="12" max="12" width="28" customWidth="1"/>
    <col min="13" max="13" width="55.7109375" customWidth="1"/>
  </cols>
  <sheetData>
    <row r="1" spans="1:13" ht="15.75" thickBot="1" x14ac:dyDescent="0.3"/>
    <row r="2" spans="1:13" x14ac:dyDescent="0.25">
      <c r="A2" s="25"/>
      <c r="B2" s="25" t="s">
        <v>36</v>
      </c>
      <c r="C2" s="26"/>
      <c r="D2" s="38"/>
      <c r="F2" s="48" t="s">
        <v>57</v>
      </c>
      <c r="G2" s="49"/>
      <c r="H2" s="49"/>
      <c r="I2" s="49"/>
      <c r="J2" s="49"/>
      <c r="K2" s="50"/>
      <c r="L2" s="29"/>
      <c r="M2" s="29"/>
    </row>
    <row r="3" spans="1:13" x14ac:dyDescent="0.25">
      <c r="A3" s="25" t="s">
        <v>30</v>
      </c>
      <c r="B3" t="s">
        <v>29</v>
      </c>
      <c r="C3">
        <f>'[1]byggetid levetid rente'!$C$17</f>
        <v>1</v>
      </c>
      <c r="E3" s="28"/>
      <c r="F3" s="30"/>
      <c r="G3" s="31" t="s">
        <v>4</v>
      </c>
      <c r="H3" s="34"/>
      <c r="I3" s="34"/>
      <c r="J3" s="32"/>
      <c r="K3" s="33"/>
      <c r="L3" s="29"/>
      <c r="M3" s="29"/>
    </row>
    <row r="4" spans="1:13" x14ac:dyDescent="0.25">
      <c r="A4" s="25" t="s">
        <v>31</v>
      </c>
      <c r="B4" t="s">
        <v>29</v>
      </c>
      <c r="C4" s="80">
        <f>'[1]byggetid levetid rente'!$C$42</f>
        <v>20</v>
      </c>
      <c r="E4" s="28"/>
      <c r="F4" s="30" t="s">
        <v>5</v>
      </c>
      <c r="G4" s="61" t="s">
        <v>48</v>
      </c>
      <c r="H4" s="34">
        <v>1</v>
      </c>
      <c r="I4" s="34">
        <v>10</v>
      </c>
      <c r="J4" s="34">
        <v>50</v>
      </c>
      <c r="K4" s="35">
        <v>150</v>
      </c>
      <c r="L4" s="40" t="s">
        <v>25</v>
      </c>
      <c r="M4" s="40" t="s">
        <v>24</v>
      </c>
    </row>
    <row r="5" spans="1:13" x14ac:dyDescent="0.25">
      <c r="A5" s="25" t="s">
        <v>37</v>
      </c>
      <c r="B5" t="s">
        <v>35</v>
      </c>
      <c r="C5" s="39">
        <f>'[1]byggetid levetid rente'!$D$42</f>
        <v>0.06</v>
      </c>
      <c r="E5" s="28"/>
      <c r="F5" s="2" t="s">
        <v>6</v>
      </c>
      <c r="G5" s="9" t="s">
        <v>7</v>
      </c>
      <c r="H5" s="62">
        <v>6000</v>
      </c>
      <c r="I5" s="62">
        <v>6000</v>
      </c>
      <c r="J5" s="62">
        <v>8200</v>
      </c>
      <c r="K5" s="69">
        <v>8200</v>
      </c>
      <c r="L5" t="s">
        <v>51</v>
      </c>
    </row>
    <row r="6" spans="1:13" ht="30" x14ac:dyDescent="0.25">
      <c r="A6" s="25" t="s">
        <v>34</v>
      </c>
      <c r="B6" s="17" t="s">
        <v>38</v>
      </c>
      <c r="C6" s="81">
        <f>'[1]byggetid levetid rente'!$E$42</f>
        <v>1E-3</v>
      </c>
      <c r="E6" s="17"/>
      <c r="F6" s="2" t="s">
        <v>50</v>
      </c>
      <c r="G6" s="9" t="s">
        <v>1</v>
      </c>
      <c r="H6" s="63">
        <v>0.85</v>
      </c>
      <c r="I6" s="63">
        <v>0.89</v>
      </c>
      <c r="J6" s="63">
        <v>0.91</v>
      </c>
      <c r="K6" s="70">
        <v>0.91</v>
      </c>
      <c r="L6" t="s">
        <v>51</v>
      </c>
      <c r="M6" s="59" t="s">
        <v>59</v>
      </c>
    </row>
    <row r="7" spans="1:13" x14ac:dyDescent="0.25">
      <c r="A7" s="25" t="s">
        <v>42</v>
      </c>
      <c r="B7" s="17" t="s">
        <v>39</v>
      </c>
      <c r="C7" s="37">
        <f>'[1]Brennverdier og priser'!$E$7</f>
        <v>10.3</v>
      </c>
      <c r="D7" s="17"/>
      <c r="E7" s="17"/>
      <c r="F7" s="2" t="s">
        <v>54</v>
      </c>
      <c r="G7" s="9" t="s">
        <v>1</v>
      </c>
      <c r="H7" s="64">
        <f>H6/$C$8*$C$7</f>
        <v>0.75401913875598092</v>
      </c>
      <c r="I7" s="64">
        <f>I6/$C$8*$C$7</f>
        <v>0.78950239234449771</v>
      </c>
      <c r="J7" s="64">
        <f>J6/$C$8*$C$7</f>
        <v>0.8072440191387561</v>
      </c>
      <c r="K7" s="71">
        <f>K6/$C$8*$C$7</f>
        <v>0.8072440191387561</v>
      </c>
    </row>
    <row r="8" spans="1:13" x14ac:dyDescent="0.25">
      <c r="A8" s="25" t="s">
        <v>43</v>
      </c>
      <c r="B8" s="17" t="s">
        <v>39</v>
      </c>
      <c r="C8" s="37">
        <f>'[1]Brennverdier og priser'!$D$7</f>
        <v>11.611111111111111</v>
      </c>
      <c r="E8" s="17"/>
      <c r="F8" s="3" t="s">
        <v>55</v>
      </c>
      <c r="G8" s="6"/>
      <c r="H8" s="83">
        <f>25%/H6</f>
        <v>0.29411764705882354</v>
      </c>
      <c r="I8" s="83">
        <f>29%/I6</f>
        <v>0.32584269662921345</v>
      </c>
      <c r="J8" s="83">
        <f>33%/J6</f>
        <v>0.36263736263736263</v>
      </c>
      <c r="K8" s="84">
        <f>36%/K6</f>
        <v>0.39560439560439559</v>
      </c>
      <c r="L8" t="s">
        <v>51</v>
      </c>
    </row>
    <row r="9" spans="1:13" ht="15" customHeight="1" x14ac:dyDescent="0.25">
      <c r="A9" s="25" t="s">
        <v>32</v>
      </c>
      <c r="B9" s="17" t="s">
        <v>44</v>
      </c>
      <c r="C9" s="37">
        <f>'[1]Brennverdier og priser'!$D$48</f>
        <v>19.347380258899673</v>
      </c>
      <c r="E9" s="17"/>
      <c r="F9" s="3" t="s">
        <v>8</v>
      </c>
      <c r="G9" s="4"/>
      <c r="H9" s="60"/>
      <c r="I9" s="60"/>
      <c r="J9" s="60"/>
      <c r="K9" s="72"/>
    </row>
    <row r="10" spans="1:13" x14ac:dyDescent="0.25">
      <c r="A10" s="47" t="s">
        <v>16</v>
      </c>
      <c r="B10" s="17" t="s">
        <v>44</v>
      </c>
      <c r="C10" s="82">
        <f>'[1]CO2-avgift, grunnavgift'!$H$6</f>
        <v>8.7378640776699026</v>
      </c>
      <c r="D10" s="17"/>
      <c r="E10" s="17"/>
      <c r="F10" s="5" t="s">
        <v>9</v>
      </c>
      <c r="G10" s="6" t="s">
        <v>45</v>
      </c>
      <c r="H10" s="67">
        <f>8340*C13</f>
        <v>9004.9627421758578</v>
      </c>
      <c r="I10" s="67">
        <f>6700*C13</f>
        <v>7234.2026825633384</v>
      </c>
      <c r="J10" s="67">
        <f>6100*C13</f>
        <v>6586.3636363636369</v>
      </c>
      <c r="K10" s="73">
        <f>5800*C13</f>
        <v>6262.4441132637858</v>
      </c>
      <c r="L10" s="96" t="s">
        <v>51</v>
      </c>
      <c r="M10" s="95" t="s">
        <v>52</v>
      </c>
    </row>
    <row r="11" spans="1:13" x14ac:dyDescent="0.25">
      <c r="A11" s="47" t="s">
        <v>17</v>
      </c>
      <c r="B11" s="17" t="s">
        <v>44</v>
      </c>
      <c r="C11" s="46">
        <f>'[1]NOX avgift'!$H$5</f>
        <v>0.33537864077669893</v>
      </c>
      <c r="E11" s="27"/>
      <c r="F11" s="5" t="s">
        <v>10</v>
      </c>
      <c r="G11" s="6" t="s">
        <v>45</v>
      </c>
      <c r="H11" s="7">
        <f>4200*C13</f>
        <v>4534.8733233979137</v>
      </c>
      <c r="I11" s="7">
        <f>1980*C13</f>
        <v>2137.8688524590166</v>
      </c>
      <c r="J11" s="7">
        <f>1800*C13</f>
        <v>1943.5171385991059</v>
      </c>
      <c r="K11" s="41">
        <f>1120*C13</f>
        <v>1209.2995529061104</v>
      </c>
      <c r="L11" s="96"/>
      <c r="M11" s="95"/>
    </row>
    <row r="12" spans="1:13" x14ac:dyDescent="0.25">
      <c r="A12" s="47" t="s">
        <v>18</v>
      </c>
      <c r="B12" s="17" t="s">
        <v>44</v>
      </c>
      <c r="C12" s="85">
        <f>'[1]CO2-kvoter'!$E$4</f>
        <v>0.96601941747572806</v>
      </c>
      <c r="D12" s="27"/>
      <c r="E12" s="27"/>
      <c r="F12" s="5" t="s">
        <v>11</v>
      </c>
      <c r="G12" s="6" t="s">
        <v>45</v>
      </c>
      <c r="H12" s="68">
        <f>660*C13</f>
        <v>712.62295081967216</v>
      </c>
      <c r="I12" s="68">
        <f>230*C13</f>
        <v>248.3383010432191</v>
      </c>
      <c r="J12" s="68">
        <f>170*C13</f>
        <v>183.5543964232489</v>
      </c>
      <c r="K12" s="74">
        <f>120*C13</f>
        <v>129.5678092399404</v>
      </c>
      <c r="L12" s="96"/>
      <c r="M12" s="95"/>
    </row>
    <row r="13" spans="1:13" x14ac:dyDescent="0.25">
      <c r="A13" s="25" t="s">
        <v>41</v>
      </c>
      <c r="B13" s="17" t="s">
        <v>40</v>
      </c>
      <c r="C13" s="46">
        <f>'[1]byggetid levetid rente'!$C$1</f>
        <v>1.07973174366617</v>
      </c>
      <c r="D13" s="27"/>
      <c r="E13" s="27"/>
      <c r="F13" s="5" t="s">
        <v>12</v>
      </c>
      <c r="G13" s="6" t="s">
        <v>45</v>
      </c>
      <c r="H13" s="68">
        <f>1350*C13</f>
        <v>1457.6378539493294</v>
      </c>
      <c r="I13" s="68">
        <f>1000*C13</f>
        <v>1079.7317436661699</v>
      </c>
      <c r="J13" s="68">
        <f>900*C13</f>
        <v>971.75856929955296</v>
      </c>
      <c r="K13" s="74">
        <f>840*C13</f>
        <v>906.97466467958282</v>
      </c>
      <c r="L13" s="96"/>
      <c r="M13" s="95"/>
    </row>
    <row r="14" spans="1:13" x14ac:dyDescent="0.25">
      <c r="F14" s="8" t="s">
        <v>13</v>
      </c>
      <c r="G14" s="6" t="s">
        <v>45</v>
      </c>
      <c r="H14" s="67">
        <f>(H10+H11+H12+H13)*(((1+($C$5))*((1+$C$5)^($C$3)-1))/($C$5*$C$3))-(H10+H11+H12+H13)</f>
        <v>942.60581222057954</v>
      </c>
      <c r="I14" s="67">
        <f>(I10+I11+I12+I13)*(((1+($C$5))*((1+$C$5)^($C$3)-1))/($C$5*$C$3))-(I10+I11+I12+I13)</f>
        <v>642.00849478391501</v>
      </c>
      <c r="J14" s="67">
        <f>(J10+J11+J12+J13)*(((1+($C$5))*((1+$C$5)^($C$3)-1))/($C$5*$C$3))-(J10+J11+J12+J13)</f>
        <v>581.11162444114234</v>
      </c>
      <c r="K14" s="75">
        <f>(K10+K11+K12+K13)*(((1+($C$5))*((1+$C$5)^($C$3)-1))/($C$5*$C$3))-(K10+K11+K12+K13)</f>
        <v>510.49716840537258</v>
      </c>
      <c r="L14" s="96"/>
      <c r="M14" s="95"/>
    </row>
    <row r="15" spans="1:13" x14ac:dyDescent="0.25">
      <c r="F15" s="65" t="s">
        <v>14</v>
      </c>
      <c r="G15" s="6" t="s">
        <v>45</v>
      </c>
      <c r="H15" s="66">
        <f>SUM(H10:H14)</f>
        <v>16652.702682563351</v>
      </c>
      <c r="I15" s="66">
        <f>SUM(I10:I14)</f>
        <v>11342.150074515659</v>
      </c>
      <c r="J15" s="66">
        <f>SUM(J10:J14)</f>
        <v>10266.305365126687</v>
      </c>
      <c r="K15" s="76">
        <f>SUM(K10:K14)</f>
        <v>9018.7833084947906</v>
      </c>
      <c r="L15" s="96"/>
    </row>
    <row r="16" spans="1:13" x14ac:dyDescent="0.25">
      <c r="F16" s="2" t="s">
        <v>0</v>
      </c>
      <c r="G16" s="9" t="s">
        <v>46</v>
      </c>
      <c r="H16" s="62">
        <f>450*C13</f>
        <v>485.87928464977648</v>
      </c>
      <c r="I16" s="62">
        <f>300*C13</f>
        <v>323.91952309985101</v>
      </c>
      <c r="J16" s="62">
        <f>200*C13</f>
        <v>215.946348733234</v>
      </c>
      <c r="K16" s="69">
        <f>120*C13</f>
        <v>129.5678092399404</v>
      </c>
      <c r="L16" t="s">
        <v>51</v>
      </c>
      <c r="M16" t="s">
        <v>52</v>
      </c>
    </row>
    <row r="17" spans="6:13" x14ac:dyDescent="0.25">
      <c r="F17" s="3" t="s">
        <v>19</v>
      </c>
      <c r="G17" s="6"/>
      <c r="H17" s="7"/>
      <c r="I17" s="7"/>
      <c r="J17" s="7"/>
      <c r="K17" s="41"/>
    </row>
    <row r="18" spans="6:13" x14ac:dyDescent="0.25">
      <c r="F18" s="8" t="s">
        <v>15</v>
      </c>
      <c r="G18" s="6" t="s">
        <v>49</v>
      </c>
      <c r="H18" s="10">
        <f>1/H6/H8</f>
        <v>4</v>
      </c>
      <c r="I18" s="10">
        <f t="shared" ref="I18:K18" si="0">1/I6/I8</f>
        <v>3.4482758620689662</v>
      </c>
      <c r="J18" s="10">
        <f t="shared" si="0"/>
        <v>3.0303030303030298</v>
      </c>
      <c r="K18" s="42">
        <f t="shared" si="0"/>
        <v>2.7777777777777777</v>
      </c>
    </row>
    <row r="19" spans="6:13" x14ac:dyDescent="0.25">
      <c r="F19" s="8" t="s">
        <v>33</v>
      </c>
      <c r="G19" s="22" t="s">
        <v>44</v>
      </c>
      <c r="H19" s="11">
        <f>$C$9</f>
        <v>19.347380258899673</v>
      </c>
      <c r="I19" s="11">
        <f>$C$9</f>
        <v>19.347380258899673</v>
      </c>
      <c r="J19" s="11">
        <f>$C$9</f>
        <v>19.347380258899673</v>
      </c>
      <c r="K19" s="43">
        <f>$C$9</f>
        <v>19.347380258899673</v>
      </c>
    </row>
    <row r="20" spans="6:13" x14ac:dyDescent="0.25">
      <c r="F20" s="8" t="s">
        <v>16</v>
      </c>
      <c r="G20" s="22" t="s">
        <v>44</v>
      </c>
      <c r="H20" s="57">
        <f>$C$10</f>
        <v>8.7378640776699026</v>
      </c>
      <c r="I20" s="57">
        <f>$C$10</f>
        <v>8.7378640776699026</v>
      </c>
      <c r="J20" s="57">
        <f>$C$10</f>
        <v>8.7378640776699026</v>
      </c>
      <c r="K20" s="77">
        <f>$C$10</f>
        <v>8.7378640776699026</v>
      </c>
    </row>
    <row r="21" spans="6:13" x14ac:dyDescent="0.25">
      <c r="F21" s="8" t="s">
        <v>17</v>
      </c>
      <c r="G21" s="22" t="s">
        <v>44</v>
      </c>
      <c r="H21" s="57">
        <v>0</v>
      </c>
      <c r="I21" s="57">
        <f>$C$11</f>
        <v>0.33537864077669893</v>
      </c>
      <c r="J21" s="57">
        <f>$C$11</f>
        <v>0.33537864077669893</v>
      </c>
      <c r="K21" s="77">
        <f>$C$11</f>
        <v>0.33537864077669893</v>
      </c>
    </row>
    <row r="22" spans="6:13" x14ac:dyDescent="0.25">
      <c r="F22" s="8" t="s">
        <v>18</v>
      </c>
      <c r="G22" s="22" t="s">
        <v>44</v>
      </c>
      <c r="H22" s="57">
        <v>0</v>
      </c>
      <c r="I22" s="57">
        <f>$C$12</f>
        <v>0.96601941747572806</v>
      </c>
      <c r="J22" s="57">
        <f>$C$12</f>
        <v>0.96601941747572806</v>
      </c>
      <c r="K22" s="77">
        <f>$C$12</f>
        <v>0.96601941747572806</v>
      </c>
    </row>
    <row r="23" spans="6:13" x14ac:dyDescent="0.25">
      <c r="F23" s="3" t="s">
        <v>53</v>
      </c>
      <c r="G23" s="12" t="s">
        <v>47</v>
      </c>
      <c r="H23" s="13">
        <f>SUM(H19:H22)*H18</f>
        <v>112.34097734627829</v>
      </c>
      <c r="I23" s="13">
        <f>SUM(I19:I22)*I18</f>
        <v>101.33324963731727</v>
      </c>
      <c r="J23" s="13">
        <f>SUM(J19:J22)*J18</f>
        <v>89.050431499460601</v>
      </c>
      <c r="K23" s="44">
        <f>SUM(K19:K22)*K18</f>
        <v>81.629562207838887</v>
      </c>
    </row>
    <row r="24" spans="6:13" x14ac:dyDescent="0.25">
      <c r="F24" s="2" t="s">
        <v>20</v>
      </c>
      <c r="G24" s="9" t="s">
        <v>47</v>
      </c>
      <c r="H24" s="58">
        <f>9.6*C13</f>
        <v>10.365424739195232</v>
      </c>
      <c r="I24" s="58">
        <f>6.4*C13</f>
        <v>6.9102831594634884</v>
      </c>
      <c r="J24" s="58">
        <f>4.5*C13</f>
        <v>4.8587928464977646</v>
      </c>
      <c r="K24" s="78">
        <f>3.8*C13</f>
        <v>4.1029806259314459</v>
      </c>
      <c r="L24" t="s">
        <v>51</v>
      </c>
      <c r="M24" t="s">
        <v>52</v>
      </c>
    </row>
    <row r="25" spans="6:13" ht="15.75" thickBot="1" x14ac:dyDescent="0.3">
      <c r="F25" s="14" t="s">
        <v>27</v>
      </c>
      <c r="G25" s="15" t="s">
        <v>47</v>
      </c>
      <c r="H25" s="16">
        <f>(SUM(H32:H35)-H37*'[2]Kostnad 2016'!$J$35)/H36</f>
        <v>67.897517268752566</v>
      </c>
      <c r="I25" s="16">
        <f>(SUM(I32:I35)-I37*'[2]Kostnad 2016'!$K$35)/I36</f>
        <v>60.021365865884356</v>
      </c>
      <c r="J25" s="16">
        <f>(SUM(J32:J35)-J37*'[2]Kostnad 2016'!$L$35)/J36</f>
        <v>49.396407842913135</v>
      </c>
      <c r="K25" s="45">
        <f>(SUM(K32:K35)-K37*'[2]Kostnad 2016'!$L$35)/K36</f>
        <v>46.459746200142391</v>
      </c>
    </row>
    <row r="26" spans="6:13" x14ac:dyDescent="0.25">
      <c r="F26" s="1" t="s">
        <v>26</v>
      </c>
      <c r="G26" s="79"/>
      <c r="H26" s="94">
        <v>0.95</v>
      </c>
      <c r="I26" s="94">
        <v>0.95</v>
      </c>
      <c r="J26" s="94">
        <v>0.95</v>
      </c>
      <c r="K26" s="94">
        <v>0.95</v>
      </c>
      <c r="L26" s="97" t="s">
        <v>58</v>
      </c>
      <c r="M26" s="95" t="s">
        <v>60</v>
      </c>
    </row>
    <row r="27" spans="6:13" ht="59.25" customHeight="1" thickBot="1" x14ac:dyDescent="0.3">
      <c r="F27" s="14" t="s">
        <v>28</v>
      </c>
      <c r="G27" s="15" t="s">
        <v>2</v>
      </c>
      <c r="H27" s="16">
        <f>H25*H26</f>
        <v>64.502641405314932</v>
      </c>
      <c r="I27" s="16">
        <f>I25*I26</f>
        <v>57.020297572590138</v>
      </c>
      <c r="J27" s="16">
        <f>J25*J26</f>
        <v>46.926587450767478</v>
      </c>
      <c r="K27" s="45">
        <f>K25*K26</f>
        <v>44.136758890135269</v>
      </c>
      <c r="L27" s="97"/>
      <c r="M27" s="95"/>
    </row>
    <row r="28" spans="6:13" x14ac:dyDescent="0.25">
      <c r="K28" s="21"/>
    </row>
    <row r="29" spans="6:13" x14ac:dyDescent="0.25">
      <c r="F29" s="18"/>
      <c r="G29" s="19"/>
      <c r="H29" s="21"/>
      <c r="I29" s="21"/>
      <c r="J29" s="21"/>
      <c r="K29" s="21"/>
    </row>
    <row r="30" spans="6:13" x14ac:dyDescent="0.25">
      <c r="F30" s="17"/>
      <c r="G30" s="17"/>
      <c r="H30" s="17"/>
      <c r="I30" s="17"/>
      <c r="J30" s="17"/>
      <c r="K30" s="17"/>
    </row>
    <row r="31" spans="6:13" x14ac:dyDescent="0.25">
      <c r="F31" s="51" t="s">
        <v>21</v>
      </c>
      <c r="G31" s="52"/>
      <c r="H31" s="53"/>
      <c r="I31" s="53"/>
      <c r="J31" s="53"/>
      <c r="K31" s="53"/>
    </row>
    <row r="32" spans="6:13" x14ac:dyDescent="0.25">
      <c r="F32" s="86" t="str">
        <f>F9</f>
        <v>Investeringskostnader</v>
      </c>
      <c r="G32" s="87" t="s">
        <v>22</v>
      </c>
      <c r="H32" s="88">
        <f t="shared" ref="H32:J32" si="1">H15*100*1000*H4</f>
        <v>1665270268.256335</v>
      </c>
      <c r="I32" s="88">
        <f t="shared" si="1"/>
        <v>11342150074.515659</v>
      </c>
      <c r="J32" s="88">
        <f t="shared" si="1"/>
        <v>51331526825.633438</v>
      </c>
      <c r="K32" s="88">
        <f t="shared" ref="K32" si="2">K15*100*1000*K4</f>
        <v>135281749627.42186</v>
      </c>
    </row>
    <row r="33" spans="6:11" x14ac:dyDescent="0.25">
      <c r="F33" s="89" t="str">
        <f>F16</f>
        <v>Faste driftskostnader</v>
      </c>
      <c r="G33" s="54" t="s">
        <v>22</v>
      </c>
      <c r="H33" s="90">
        <f t="shared" ref="H33:J33" si="3">-PV($C$5,$C$4,H16*100*1000*H4)</f>
        <v>557299711.66657817</v>
      </c>
      <c r="I33" s="90">
        <f t="shared" si="3"/>
        <v>3715331411.1105218</v>
      </c>
      <c r="J33" s="90">
        <f t="shared" si="3"/>
        <v>12384438037.035072</v>
      </c>
      <c r="K33" s="90">
        <f t="shared" ref="K33" si="4">-PV($C$5,$C$4,K16*100*1000*K4)</f>
        <v>22291988466.663128</v>
      </c>
    </row>
    <row r="34" spans="6:11" x14ac:dyDescent="0.25">
      <c r="F34" s="89" t="str">
        <f>F24</f>
        <v>Variable kostnader eks brensel</v>
      </c>
      <c r="G34" s="54" t="s">
        <v>22</v>
      </c>
      <c r="H34" s="90">
        <f t="shared" ref="H34:J34" si="5">-PV($C$5,$C$4,H24*1000*H4*H5)</f>
        <v>713343630.93322015</v>
      </c>
      <c r="I34" s="90">
        <f t="shared" si="5"/>
        <v>4755624206.221468</v>
      </c>
      <c r="J34" s="90">
        <f t="shared" si="5"/>
        <v>22849288178.329708</v>
      </c>
      <c r="K34" s="90">
        <f>-PV($C$5,$C$4,K24*1000*K4*K5)</f>
        <v>57884863385.101913</v>
      </c>
    </row>
    <row r="35" spans="6:11" x14ac:dyDescent="0.25">
      <c r="F35" s="89" t="str">
        <f>F23</f>
        <v>Sum brensels- og utslippskostnader</v>
      </c>
      <c r="G35" s="54" t="s">
        <v>22</v>
      </c>
      <c r="H35" s="90">
        <f t="shared" ref="H35:J35" si="6">-PV($C$5,$C$4,H4*H23*1000*H5)</f>
        <v>7731252958.6706209</v>
      </c>
      <c r="I35" s="90">
        <f t="shared" si="6"/>
        <v>69737063409.674164</v>
      </c>
      <c r="J35" s="90">
        <f t="shared" si="6"/>
        <v>418774587849.00275</v>
      </c>
      <c r="K35" s="90">
        <f>-PV($C$5,$C$4,K4*K23*1000*K5)</f>
        <v>1151630116584.7578</v>
      </c>
    </row>
    <row r="36" spans="6:11" x14ac:dyDescent="0.25">
      <c r="F36" s="89" t="s">
        <v>23</v>
      </c>
      <c r="G36" s="54" t="s">
        <v>3</v>
      </c>
      <c r="H36" s="90">
        <f t="shared" ref="H36:J36" si="7">-PV($C$5+$C$6,$C$4,H4*H5*1000)</f>
        <v>68264312.074295491</v>
      </c>
      <c r="I36" s="90">
        <f t="shared" si="7"/>
        <v>682643120.74295485</v>
      </c>
      <c r="J36" s="90">
        <f t="shared" si="7"/>
        <v>4664727991.7435246</v>
      </c>
      <c r="K36" s="90">
        <f>-PV($C$5+$C$6,$C$4,K4*K5*1000)</f>
        <v>13994183975.230576</v>
      </c>
    </row>
    <row r="37" spans="6:11" x14ac:dyDescent="0.25">
      <c r="F37" s="91" t="s">
        <v>56</v>
      </c>
      <c r="G37" s="92" t="s">
        <v>3</v>
      </c>
      <c r="H37" s="93">
        <f t="shared" ref="H37:J37" si="8">-PV($C$5+$C$6,$C$4,H4*H5*1000/H8*(1-H8))</f>
        <v>163834348.97830915</v>
      </c>
      <c r="I37" s="93">
        <f t="shared" si="8"/>
        <v>1412365077.3992174</v>
      </c>
      <c r="J37" s="93">
        <f t="shared" si="8"/>
        <v>8198612833.9734678</v>
      </c>
      <c r="K37" s="93">
        <f>-PV($C$5+$C$6,$C$4,K4*K5*1000/K8*(1-K8))</f>
        <v>21380003295.491158</v>
      </c>
    </row>
    <row r="38" spans="6:11" x14ac:dyDescent="0.25">
      <c r="F38" s="18"/>
      <c r="G38" s="54"/>
      <c r="H38" s="54"/>
      <c r="I38" s="54"/>
      <c r="J38" s="20"/>
      <c r="K38" s="20"/>
    </row>
    <row r="39" spans="6:11" x14ac:dyDescent="0.25">
      <c r="F39" s="18"/>
      <c r="G39" s="54"/>
      <c r="H39" s="54"/>
      <c r="I39" s="54"/>
      <c r="J39" s="21"/>
      <c r="K39" s="21"/>
    </row>
    <row r="40" spans="6:11" x14ac:dyDescent="0.25">
      <c r="F40" s="24"/>
      <c r="G40" s="54"/>
      <c r="H40" s="54"/>
      <c r="I40" s="54"/>
      <c r="J40" s="23"/>
      <c r="K40" s="23"/>
    </row>
    <row r="41" spans="6:11" x14ac:dyDescent="0.25">
      <c r="F41" s="24"/>
      <c r="G41" s="54"/>
      <c r="H41" s="54"/>
      <c r="I41" s="54"/>
      <c r="J41" s="23"/>
      <c r="K41" s="23"/>
    </row>
    <row r="42" spans="6:11" x14ac:dyDescent="0.25">
      <c r="F42" s="36"/>
      <c r="G42" s="56"/>
      <c r="H42" s="56"/>
      <c r="I42" s="56"/>
      <c r="J42" s="55"/>
      <c r="K42" s="55"/>
    </row>
    <row r="43" spans="6:11" x14ac:dyDescent="0.25">
      <c r="F43" s="36"/>
      <c r="G43" s="36"/>
      <c r="H43" s="36"/>
      <c r="I43" s="36"/>
      <c r="J43" s="36"/>
      <c r="K43" s="36"/>
    </row>
    <row r="44" spans="6:11" x14ac:dyDescent="0.25">
      <c r="F44" s="36"/>
      <c r="G44" s="36"/>
      <c r="H44" s="36"/>
      <c r="I44" s="36"/>
      <c r="J44" s="36"/>
      <c r="K44" s="36"/>
    </row>
  </sheetData>
  <mergeCells count="4">
    <mergeCell ref="M10:M14"/>
    <mergeCell ref="L10:L15"/>
    <mergeCell ref="L26:L27"/>
    <mergeCell ref="M26:M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2017-02-27T15:18:59Z</dcterms:modified>
</cp:coreProperties>
</file>