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C13" i="2" l="1"/>
  <c r="C6" i="2"/>
  <c r="C5" i="2"/>
  <c r="C4" i="2"/>
  <c r="C3" i="2"/>
  <c r="H40" i="2" l="1"/>
  <c r="H28" i="2"/>
  <c r="H48" i="2" s="1"/>
  <c r="H27" i="2"/>
  <c r="H47" i="2" s="1"/>
  <c r="H25" i="2"/>
  <c r="H44" i="2" s="1"/>
  <c r="H24" i="2"/>
  <c r="H43" i="2" s="1"/>
  <c r="H22" i="2"/>
  <c r="H38" i="2" s="1"/>
  <c r="H15" i="2"/>
  <c r="H12" i="2"/>
  <c r="H11" i="2"/>
  <c r="H10" i="2"/>
  <c r="H9" i="2"/>
  <c r="C11" i="2"/>
  <c r="C12" i="2" l="1"/>
  <c r="C9" i="2" l="1"/>
  <c r="C8" i="2"/>
  <c r="C7" i="2"/>
  <c r="H17" i="2" l="1"/>
  <c r="H20" i="2" l="1"/>
  <c r="H19" i="2" l="1"/>
  <c r="H7" i="2"/>
  <c r="H37" i="2" l="1"/>
  <c r="H18" i="2"/>
  <c r="H21" i="2" s="1"/>
  <c r="H39" i="2" s="1"/>
  <c r="H23" i="2" l="1"/>
  <c r="H26" i="2"/>
  <c r="H13" i="2"/>
  <c r="H14" i="2" s="1"/>
  <c r="F38" i="2"/>
  <c r="F37" i="2"/>
  <c r="F36" i="2"/>
  <c r="H36" i="2" l="1"/>
  <c r="H29" i="2" s="1"/>
  <c r="H31" i="2" s="1"/>
</calcChain>
</file>

<file path=xl/sharedStrings.xml><?xml version="1.0" encoding="utf-8"?>
<sst xmlns="http://schemas.openxmlformats.org/spreadsheetml/2006/main" count="117" uniqueCount="70">
  <si>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</si>
  <si>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</si>
  <si>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</si>
  <si>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</si>
  <si>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</si>
  <si>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</si>
  <si>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</si>
  <si>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</si>
  <si>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</si>
  <si>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</si>
  <si>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</si>
  <si>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</si>
  <si>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</si>
  <si>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</si>
  <si>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</si>
  <si>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</si>
  <si>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</si>
  <si>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</si>
  <si>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</si>
  <si>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</si>
  <si>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</si>
  <si>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</si>
  <si>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</si>
  <si>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</si>
  <si>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</si>
  <si>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</si>
  <si>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</si>
  <si>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</si>
  <si>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</si>
  <si>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</si>
  <si>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</si>
  <si>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</si>
  <si>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</si>
  <si>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</si>
  <si>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</si>
  <si>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</si>
  <si>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</si>
  <si>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</si>
  <si>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</si>
  <si>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</si>
  <si>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</si>
  <si>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</si>
  <si>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</si>
  <si>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</si>
  <si>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</si>
  <si>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</si>
  <si>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</si>
  <si>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</si>
  <si>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</si>
  <si>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</si>
  <si>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Norconsult sine vurderinger basert blant annet på ZEP, 2011</t>
  </si>
  <si>
    <t>Justert opp fra Kostnader i energisektoren 2015 vha infasjonsindeks</t>
  </si>
  <si>
    <t>Sum brensels- og utslippskostnader</t>
  </si>
  <si>
    <t>Reduksjon i CO2-utslipp</t>
  </si>
  <si>
    <t>Transport av CO2</t>
  </si>
  <si>
    <r>
      <t>Investeringskostnader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transport</t>
    </r>
  </si>
  <si>
    <r>
      <t>Driftskostnader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transport</t>
    </r>
  </si>
  <si>
    <t>Lagring av CO2</t>
  </si>
  <si>
    <r>
      <t>Investeringskostnader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lagring</t>
    </r>
  </si>
  <si>
    <r>
      <t>Driftskostnader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lagring</t>
    </r>
  </si>
  <si>
    <t>Virkningsgrad (øvre brennverdi)</t>
  </si>
  <si>
    <t xml:space="preserve">Investeringskostnader </t>
  </si>
  <si>
    <t>Brensels- og utlipskostnader</t>
  </si>
  <si>
    <t>Driftskostnader</t>
  </si>
  <si>
    <t>Momentanvirkningsgrad basert på nedre brennverdi. Årsvirkningsgrad er ca 5-10 % lavere</t>
  </si>
  <si>
    <t>Kullfyrt kondenskraftverk med CCS</t>
  </si>
  <si>
    <t>kWh/kg</t>
  </si>
  <si>
    <t xml:space="preserve">Elforsk 14:40 El från nya och framtida anläggningar, IEA ETSAP (2010) Coal-Fired Power </t>
  </si>
  <si>
    <t xml:space="preserve">Kondens kullkraftverk er moden teknologi. Kostnadsreduksjon er knyttet til:
- økning i virkningsgraden, 
- reduksjon av tap pga CO2 håndtering, 
- reduksjon i kostnader knyttet til CO2 håndtering.
Som for alle fossilbasert teknologier er kostnadsutvikling sterkt avhengig av brensels- og utslippskostnader som er antatte konstante her. </t>
  </si>
  <si>
    <t>NVE basert på Elforsk 14:40 El från nya och framtida anläggningar, IEA ETSAP (2010) Coal-Fired Power, IEA ETSAP (2010) CO2 Capture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</si>
</sst>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</cellStyleXfs>
  <cellXfs count="81">
    <xf numFmtId="0" fontId="0" fillId="0" borderId="0" xfId="0"/>
    <xf numFmtId="164" fontId="7" fillId="0" borderId="1" xfId="1" applyFont="1" applyFill="1" applyBorder="1"/>
    <xf numFmtId="164" fontId="7" fillId="0" borderId="10" xfId="1" applyFont="1" applyFill="1" applyBorder="1"/>
    <xf numFmtId="164" fontId="7" fillId="0" borderId="2" xfId="1" applyFont="1" applyFill="1" applyBorder="1"/>
    <xf numFmtId="164" fontId="7" fillId="0" borderId="13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3" xfId="1" applyFont="1" applyFill="1" applyBorder="1" applyAlignment="1">
      <alignment horizontal="right"/>
    </xf>
    <xf numFmtId="164" fontId="4" fillId="0" borderId="2" xfId="1" applyFont="1" applyFill="1" applyBorder="1"/>
    <xf numFmtId="164" fontId="4" fillId="0" borderId="11" xfId="1" applyFont="1" applyFill="1" applyBorder="1" applyAlignment="1">
      <alignment horizontal="right"/>
    </xf>
    <xf numFmtId="164" fontId="4" fillId="0" borderId="14" xfId="1" applyFont="1" applyFill="1" applyBorder="1" applyAlignment="1">
      <alignment horizontal="right"/>
    </xf>
    <xf numFmtId="164" fontId="7" fillId="0" borderId="15" xfId="1" applyFont="1" applyFill="1" applyBorder="1"/>
    <xf numFmtId="164" fontId="7" fillId="0" borderId="16" xfId="1" applyFont="1" applyFill="1" applyBorder="1" applyAlignment="1">
      <alignment horizontal="right"/>
    </xf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1" applyNumberFormat="1" applyFont="1" applyFill="1" applyBorder="1"/>
    <xf numFmtId="0" fontId="4" fillId="0" borderId="13" xfId="0" applyFont="1" applyBorder="1" applyAlignment="1">
      <alignment horizontal="right"/>
    </xf>
    <xf numFmtId="0" fontId="4" fillId="0" borderId="0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6" xfId="1" applyFont="1" applyFill="1" applyBorder="1" applyAlignment="1">
      <alignment horizontal="right"/>
    </xf>
    <xf numFmtId="0" fontId="6" fillId="3" borderId="7" xfId="0" applyFont="1" applyFill="1" applyBorder="1" applyAlignment="1">
      <alignment horizontal="center"/>
    </xf>
    <xf numFmtId="164" fontId="5" fillId="3" borderId="7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7" xfId="1" applyNumberFormat="1" applyFont="1" applyFill="1" applyBorder="1"/>
    <xf numFmtId="165" fontId="4" fillId="0" borderId="7" xfId="2" applyNumberFormat="1" applyFont="1" applyFill="1" applyBorder="1"/>
    <xf numFmtId="165" fontId="4" fillId="0" borderId="7" xfId="1" applyNumberFormat="1" applyFont="1" applyFill="1" applyBorder="1"/>
    <xf numFmtId="165" fontId="4" fillId="0" borderId="19" xfId="2" applyNumberFormat="1" applyFont="1" applyFill="1" applyBorder="1"/>
    <xf numFmtId="165" fontId="7" fillId="0" borderId="20" xfId="0" applyNumberFormat="1" applyFont="1" applyFill="1" applyBorder="1"/>
    <xf numFmtId="2" fontId="0" fillId="0" borderId="0" xfId="0" applyNumberFormat="1"/>
    <xf numFmtId="0" fontId="5" fillId="2" borderId="21" xfId="0" applyFont="1" applyFill="1" applyBorder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3" fontId="4" fillId="0" borderId="0" xfId="0" applyNumberFormat="1" applyFont="1"/>
    <xf numFmtId="0" fontId="0" fillId="0" borderId="0" xfId="0" applyAlignment="1">
      <alignment horizontal="center" wrapText="1"/>
    </xf>
    <xf numFmtId="164" fontId="5" fillId="3" borderId="13" xfId="1" applyFont="1" applyFill="1" applyBorder="1" applyAlignment="1">
      <alignment horizontal="right"/>
    </xf>
    <xf numFmtId="164" fontId="7" fillId="0" borderId="22" xfId="1" applyFont="1" applyFill="1" applyBorder="1"/>
    <xf numFmtId="3" fontId="4" fillId="0" borderId="12" xfId="1" applyNumberFormat="1" applyFont="1" applyFill="1" applyBorder="1"/>
    <xf numFmtId="9" fontId="9" fillId="0" borderId="12" xfId="1" applyNumberFormat="1" applyFont="1" applyFill="1" applyBorder="1"/>
    <xf numFmtId="164" fontId="7" fillId="0" borderId="7" xfId="1" applyFont="1" applyFill="1" applyBorder="1"/>
    <xf numFmtId="3" fontId="4" fillId="0" borderId="7" xfId="4" applyNumberFormat="1" applyFont="1" applyFill="1" applyBorder="1"/>
    <xf numFmtId="1" fontId="4" fillId="0" borderId="7" xfId="4" applyNumberFormat="1" applyFont="1" applyFill="1" applyBorder="1"/>
    <xf numFmtId="3" fontId="4" fillId="0" borderId="23" xfId="4" applyNumberFormat="1" applyFont="1" applyFill="1" applyBorder="1"/>
    <xf numFmtId="3" fontId="4" fillId="0" borderId="19" xfId="2" applyNumberFormat="1" applyFont="1" applyFill="1" applyBorder="1"/>
    <xf numFmtId="2" fontId="4" fillId="0" borderId="7" xfId="1" applyNumberFormat="1" applyFont="1" applyFill="1" applyBorder="1"/>
    <xf numFmtId="167" fontId="4" fillId="0" borderId="7" xfId="1" applyNumberFormat="1" applyFont="1" applyFill="1" applyBorder="1"/>
    <xf numFmtId="164" fontId="7" fillId="0" borderId="8" xfId="1" applyFont="1" applyFill="1" applyBorder="1" applyAlignment="1">
      <alignment horizontal="right"/>
    </xf>
    <xf numFmtId="9" fontId="0" fillId="0" borderId="0" xfId="3" applyFont="1"/>
    <xf numFmtId="164" fontId="4" fillId="0" borderId="6" xfId="1" applyFont="1" applyFill="1" applyBorder="1" applyAlignment="1">
      <alignment horizontal="right"/>
    </xf>
    <xf numFmtId="164" fontId="4" fillId="0" borderId="22" xfId="1" applyFont="1" applyFill="1" applyBorder="1" applyAlignment="1">
      <alignment horizontal="left" indent="1"/>
    </xf>
    <xf numFmtId="164" fontId="7" fillId="0" borderId="24" xfId="1" applyFont="1" applyFill="1" applyBorder="1"/>
    <xf numFmtId="167" fontId="4" fillId="0" borderId="25" xfId="1" applyNumberFormat="1" applyFont="1" applyFill="1" applyBorder="1"/>
    <xf numFmtId="164" fontId="4" fillId="0" borderId="0" xfId="1" applyFont="1" applyFill="1" applyBorder="1"/>
    <xf numFmtId="164" fontId="4" fillId="0" borderId="0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168" fontId="4" fillId="0" borderId="0" xfId="5" applyNumberFormat="1" applyFont="1" applyBorder="1"/>
    <xf numFmtId="168" fontId="0" fillId="0" borderId="0" xfId="5" applyNumberFormat="1" applyFont="1" applyBorder="1"/>
    <xf numFmtId="168" fontId="9" fillId="0" borderId="0" xfId="5" applyNumberFormat="1" applyFont="1" applyFill="1" applyBorder="1"/>
    <xf numFmtId="4" fontId="4" fillId="0" borderId="9" xfId="1" applyNumberFormat="1" applyFont="1" applyFill="1" applyBorder="1"/>
    <xf numFmtId="0" fontId="0" fillId="0" borderId="0" xfId="0" applyFont="1" applyBorder="1"/>
    <xf numFmtId="166" fontId="10" fillId="0" borderId="0" xfId="3" applyNumberFormat="1" applyFont="1" applyBorder="1"/>
    <xf numFmtId="166" fontId="4" fillId="0" borderId="12" xfId="1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6">
    <cellStyle name="Komma" xfId="5" builtinId="3"/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15">
          <cell r="D15">
            <v>8.3888888888888893</v>
          </cell>
          <cell r="E15">
            <v>7.8</v>
          </cell>
        </row>
        <row r="46">
          <cell r="D46">
            <v>5.7556641025641015</v>
          </cell>
        </row>
      </sheetData>
      <sheetData sheetId="1"/>
      <sheetData sheetId="2">
        <row r="6">
          <cell r="E6">
            <v>1.6923076923076925</v>
          </cell>
        </row>
      </sheetData>
      <sheetData sheetId="3">
        <row r="1">
          <cell r="C1">
            <v>1.07973174366617</v>
          </cell>
        </row>
        <row r="8">
          <cell r="C8">
            <v>4</v>
          </cell>
          <cell r="D8">
            <v>0.06</v>
          </cell>
        </row>
        <row r="33">
          <cell r="C33">
            <v>25</v>
          </cell>
          <cell r="E33">
            <v>1E-3</v>
          </cell>
        </row>
      </sheetData>
      <sheetData sheetId="4">
        <row r="4">
          <cell r="H4">
            <v>0.24911538461538454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90" zoomScaleNormal="90" workbookViewId="0">
      <selection activeCell="C9" sqref="C9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18.140625" bestFit="1" customWidth="1"/>
    <col min="9" max="9" width="34.7109375" customWidth="1"/>
    <col min="10" max="10" width="60" customWidth="1"/>
  </cols>
  <sheetData>
    <row r="1" spans="1:10" ht="15.75" thickBot="1" x14ac:dyDescent="0.3"/>
    <row r="2" spans="1:10" x14ac:dyDescent="0.25">
      <c r="A2" s="18"/>
      <c r="B2" s="18" t="s">
        <v>35</v>
      </c>
      <c r="C2" s="19"/>
      <c r="D2" s="29"/>
      <c r="F2" s="39" t="s">
        <v>65</v>
      </c>
      <c r="G2" s="40"/>
      <c r="H2" s="41"/>
      <c r="I2" s="22"/>
      <c r="J2" s="22"/>
    </row>
    <row r="3" spans="1:10" x14ac:dyDescent="0.25">
      <c r="A3" s="18" t="s">
        <v>29</v>
      </c>
      <c r="B3" t="s">
        <v>28</v>
      </c>
      <c r="C3">
        <f>'[1]byggetid levetid rente'!$C$8</f>
        <v>4</v>
      </c>
      <c r="E3" s="21"/>
      <c r="F3" s="23"/>
      <c r="G3" s="24" t="s">
        <v>4</v>
      </c>
      <c r="H3" s="25"/>
      <c r="I3" s="22"/>
      <c r="J3" s="22"/>
    </row>
    <row r="4" spans="1:10" x14ac:dyDescent="0.25">
      <c r="A4" s="18" t="s">
        <v>30</v>
      </c>
      <c r="B4" t="s">
        <v>28</v>
      </c>
      <c r="C4" s="74">
        <f>'[1]byggetid levetid rente'!$C$33</f>
        <v>25</v>
      </c>
      <c r="E4" s="21"/>
      <c r="F4" s="23" t="s">
        <v>5</v>
      </c>
      <c r="G4" s="50" t="s">
        <v>46</v>
      </c>
      <c r="H4" s="26">
        <v>600</v>
      </c>
      <c r="I4" s="31" t="s">
        <v>24</v>
      </c>
      <c r="J4" s="31" t="s">
        <v>23</v>
      </c>
    </row>
    <row r="5" spans="1:10" x14ac:dyDescent="0.25">
      <c r="A5" s="18" t="s">
        <v>36</v>
      </c>
      <c r="B5" t="s">
        <v>34</v>
      </c>
      <c r="C5" s="30">
        <f>'[1]byggetid levetid rente'!$D$8</f>
        <v>0.06</v>
      </c>
      <c r="E5" s="21"/>
      <c r="F5" s="2" t="s">
        <v>6</v>
      </c>
      <c r="G5" s="8" t="s">
        <v>7</v>
      </c>
      <c r="H5" s="52">
        <v>8000</v>
      </c>
      <c r="I5" t="s">
        <v>49</v>
      </c>
    </row>
    <row r="6" spans="1:10" ht="75" x14ac:dyDescent="0.25">
      <c r="A6" s="18" t="s">
        <v>33</v>
      </c>
      <c r="B6" s="12" t="s">
        <v>37</v>
      </c>
      <c r="C6" s="75">
        <f>'[1]byggetid levetid rente'!$E$33</f>
        <v>1E-3</v>
      </c>
      <c r="E6" s="12"/>
      <c r="F6" s="2" t="s">
        <v>48</v>
      </c>
      <c r="G6" s="8" t="s">
        <v>1</v>
      </c>
      <c r="H6" s="76">
        <f>46%-8%</f>
        <v>0.38</v>
      </c>
      <c r="I6" s="77" t="s">
        <v>69</v>
      </c>
      <c r="J6" s="49" t="s">
        <v>64</v>
      </c>
    </row>
    <row r="7" spans="1:10" x14ac:dyDescent="0.25">
      <c r="A7" s="18" t="s">
        <v>40</v>
      </c>
      <c r="B7" s="12" t="s">
        <v>66</v>
      </c>
      <c r="C7" s="28">
        <f>'[1]Brennverdier og priser'!$E$15</f>
        <v>7.8</v>
      </c>
      <c r="D7" s="12"/>
      <c r="E7" s="12"/>
      <c r="F7" s="2" t="s">
        <v>60</v>
      </c>
      <c r="G7" s="8" t="s">
        <v>1</v>
      </c>
      <c r="H7" s="53">
        <f>H6/$C$8*$C$7</f>
        <v>0.35332450331125825</v>
      </c>
    </row>
    <row r="8" spans="1:10" x14ac:dyDescent="0.25">
      <c r="A8" s="18" t="s">
        <v>41</v>
      </c>
      <c r="B8" s="12" t="s">
        <v>66</v>
      </c>
      <c r="C8" s="28">
        <f>'[1]Brennverdier og priser'!$D$15</f>
        <v>8.3888888888888893</v>
      </c>
      <c r="E8" s="12"/>
      <c r="F8" s="3" t="s">
        <v>8</v>
      </c>
      <c r="G8" s="4"/>
      <c r="H8" s="54"/>
    </row>
    <row r="9" spans="1:10" x14ac:dyDescent="0.25">
      <c r="A9" s="18" t="s">
        <v>31</v>
      </c>
      <c r="B9" s="12" t="s">
        <v>42</v>
      </c>
      <c r="C9" s="28">
        <f>'[1]Brennverdier og priser'!$D$46</f>
        <v>5.7556641025641015</v>
      </c>
      <c r="E9" s="12"/>
      <c r="F9" s="5" t="s">
        <v>9</v>
      </c>
      <c r="G9" s="6" t="s">
        <v>43</v>
      </c>
      <c r="H9" s="55">
        <f>14170*C13</f>
        <v>15299.798807749628</v>
      </c>
      <c r="I9" s="78" t="s">
        <v>50</v>
      </c>
      <c r="J9" s="78" t="s">
        <v>51</v>
      </c>
    </row>
    <row r="10" spans="1:10" x14ac:dyDescent="0.25">
      <c r="A10" s="38" t="s">
        <v>53</v>
      </c>
      <c r="B10" s="12" t="s">
        <v>1</v>
      </c>
      <c r="C10" s="62">
        <v>0.85</v>
      </c>
      <c r="D10" s="12"/>
      <c r="E10" s="12"/>
      <c r="F10" s="5" t="s">
        <v>10</v>
      </c>
      <c r="G10" s="6" t="s">
        <v>43</v>
      </c>
      <c r="H10" s="32">
        <f>4400*C13</f>
        <v>4750.8196721311479</v>
      </c>
      <c r="I10" s="78"/>
      <c r="J10" s="78"/>
    </row>
    <row r="11" spans="1:10" x14ac:dyDescent="0.25">
      <c r="A11" s="38" t="s">
        <v>17</v>
      </c>
      <c r="B11" s="12" t="s">
        <v>42</v>
      </c>
      <c r="C11" s="48">
        <f>'[1]CO2-kvoter'!$E$6*(1-C10)</f>
        <v>0.25384615384615389</v>
      </c>
      <c r="E11" s="20"/>
      <c r="F11" s="5" t="s">
        <v>11</v>
      </c>
      <c r="G11" s="6" t="s">
        <v>43</v>
      </c>
      <c r="H11" s="56">
        <f>130*C13</f>
        <v>140.3651266766021</v>
      </c>
      <c r="I11" s="78"/>
      <c r="J11" s="78"/>
    </row>
    <row r="12" spans="1:10" x14ac:dyDescent="0.25">
      <c r="A12" s="38" t="s">
        <v>16</v>
      </c>
      <c r="B12" s="12" t="s">
        <v>42</v>
      </c>
      <c r="C12" s="37">
        <f>'[1]NOX avgift'!$H$4</f>
        <v>0.24911538461538454</v>
      </c>
      <c r="D12" s="20"/>
      <c r="E12" s="20"/>
      <c r="F12" s="5" t="s">
        <v>12</v>
      </c>
      <c r="G12" s="6" t="s">
        <v>43</v>
      </c>
      <c r="H12" s="56">
        <f>3300*C13</f>
        <v>3563.1147540983611</v>
      </c>
      <c r="I12" s="78"/>
      <c r="J12" s="78"/>
    </row>
    <row r="13" spans="1:10" x14ac:dyDescent="0.25">
      <c r="A13" s="18" t="s">
        <v>39</v>
      </c>
      <c r="B13" s="12" t="s">
        <v>38</v>
      </c>
      <c r="C13" s="37">
        <f>'[1]byggetid levetid rente'!$C$1</f>
        <v>1.07973174366617</v>
      </c>
      <c r="D13" s="20"/>
      <c r="E13" s="20"/>
      <c r="F13" s="7" t="s">
        <v>13</v>
      </c>
      <c r="G13" s="6" t="s">
        <v>43</v>
      </c>
      <c r="H13" s="57">
        <f>(H9+H10+H11+H12)*(((1+($C$5))*((1+$C$5)^($C$3)-1))/($C$5*$C$3))-(H9+H10+H11+H12)</f>
        <v>3783.3922091803615</v>
      </c>
      <c r="I13" s="78"/>
      <c r="J13" s="78"/>
    </row>
    <row r="14" spans="1:10" x14ac:dyDescent="0.25">
      <c r="F14" s="51" t="s">
        <v>14</v>
      </c>
      <c r="G14" s="6" t="s">
        <v>43</v>
      </c>
      <c r="H14" s="58">
        <f>SUM(H9:H13)</f>
        <v>27537.490569836104</v>
      </c>
    </row>
    <row r="15" spans="1:10" x14ac:dyDescent="0.25">
      <c r="F15" s="2" t="s">
        <v>0</v>
      </c>
      <c r="G15" s="8" t="s">
        <v>44</v>
      </c>
      <c r="H15" s="52">
        <f>323*C13</f>
        <v>348.75335320417292</v>
      </c>
      <c r="I15" t="s">
        <v>50</v>
      </c>
      <c r="J15" t="s">
        <v>51</v>
      </c>
    </row>
    <row r="16" spans="1:10" x14ac:dyDescent="0.25">
      <c r="F16" s="3" t="s">
        <v>18</v>
      </c>
      <c r="G16" s="6"/>
      <c r="H16" s="32"/>
    </row>
    <row r="17" spans="6:10" x14ac:dyDescent="0.25">
      <c r="F17" s="5" t="s">
        <v>15</v>
      </c>
      <c r="G17" s="6" t="s">
        <v>47</v>
      </c>
      <c r="H17" s="33">
        <f>1/H6</f>
        <v>2.6315789473684212</v>
      </c>
    </row>
    <row r="18" spans="6:10" x14ac:dyDescent="0.25">
      <c r="F18" s="5" t="s">
        <v>32</v>
      </c>
      <c r="G18" s="16" t="s">
        <v>42</v>
      </c>
      <c r="H18" s="34">
        <f>$C$9</f>
        <v>5.7556641025641015</v>
      </c>
    </row>
    <row r="19" spans="6:10" x14ac:dyDescent="0.25">
      <c r="F19" s="5" t="s">
        <v>16</v>
      </c>
      <c r="G19" s="16" t="s">
        <v>42</v>
      </c>
      <c r="H19" s="59">
        <f>$C$12</f>
        <v>0.24911538461538454</v>
      </c>
    </row>
    <row r="20" spans="6:10" x14ac:dyDescent="0.25">
      <c r="F20" s="5" t="s">
        <v>17</v>
      </c>
      <c r="G20" s="16" t="s">
        <v>42</v>
      </c>
      <c r="H20" s="59">
        <f>$C$11</f>
        <v>0.25384615384615389</v>
      </c>
    </row>
    <row r="21" spans="6:10" x14ac:dyDescent="0.25">
      <c r="F21" s="3" t="s">
        <v>52</v>
      </c>
      <c r="G21" s="9" t="s">
        <v>45</v>
      </c>
      <c r="H21" s="35">
        <f>SUM(H18:H20)*H17</f>
        <v>16.470067476383264</v>
      </c>
    </row>
    <row r="22" spans="6:10" x14ac:dyDescent="0.25">
      <c r="F22" s="2" t="s">
        <v>19</v>
      </c>
      <c r="G22" s="63" t="s">
        <v>45</v>
      </c>
      <c r="H22" s="60">
        <f>1.8*C13</f>
        <v>1.9435171385991059</v>
      </c>
      <c r="I22" t="s">
        <v>50</v>
      </c>
      <c r="J22" t="s">
        <v>51</v>
      </c>
    </row>
    <row r="23" spans="6:10" x14ac:dyDescent="0.25">
      <c r="F23" s="65" t="s">
        <v>54</v>
      </c>
      <c r="G23" s="63" t="s">
        <v>45</v>
      </c>
      <c r="H23" s="66">
        <f>H24+H25</f>
        <v>14.036512667660208</v>
      </c>
    </row>
    <row r="24" spans="6:10" x14ac:dyDescent="0.25">
      <c r="F24" s="5" t="s">
        <v>55</v>
      </c>
      <c r="G24" s="6" t="s">
        <v>45</v>
      </c>
      <c r="H24" s="60">
        <f>11.5*C13</f>
        <v>12.416915052160954</v>
      </c>
      <c r="I24" t="s">
        <v>50</v>
      </c>
      <c r="J24" t="s">
        <v>51</v>
      </c>
    </row>
    <row r="25" spans="6:10" x14ac:dyDescent="0.25">
      <c r="F25" s="64" t="s">
        <v>56</v>
      </c>
      <c r="G25" s="6" t="s">
        <v>45</v>
      </c>
      <c r="H25" s="60">
        <f>1.5*C13</f>
        <v>1.6195976154992549</v>
      </c>
      <c r="I25" t="s">
        <v>50</v>
      </c>
      <c r="J25" t="s">
        <v>51</v>
      </c>
    </row>
    <row r="26" spans="6:10" x14ac:dyDescent="0.25">
      <c r="F26" s="65" t="s">
        <v>57</v>
      </c>
      <c r="G26" s="63" t="s">
        <v>45</v>
      </c>
      <c r="H26" s="66">
        <f>H27+H28</f>
        <v>8.0979880774962751</v>
      </c>
    </row>
    <row r="27" spans="6:10" x14ac:dyDescent="0.25">
      <c r="F27" s="5" t="s">
        <v>58</v>
      </c>
      <c r="G27" s="6" t="s">
        <v>45</v>
      </c>
      <c r="H27" s="60">
        <f>3*C13</f>
        <v>3.2391952309985097</v>
      </c>
      <c r="I27" t="s">
        <v>50</v>
      </c>
      <c r="J27" t="s">
        <v>51</v>
      </c>
    </row>
    <row r="28" spans="6:10" x14ac:dyDescent="0.25">
      <c r="F28" s="64" t="s">
        <v>59</v>
      </c>
      <c r="G28" s="6" t="s">
        <v>45</v>
      </c>
      <c r="H28" s="60">
        <f>4.5*C13</f>
        <v>4.8587928464977646</v>
      </c>
      <c r="I28" t="s">
        <v>50</v>
      </c>
      <c r="J28" t="s">
        <v>51</v>
      </c>
    </row>
    <row r="29" spans="6:10" ht="15.75" thickBot="1" x14ac:dyDescent="0.3">
      <c r="F29" s="10" t="s">
        <v>26</v>
      </c>
      <c r="G29" s="11" t="s">
        <v>45</v>
      </c>
      <c r="H29" s="36">
        <f>(SUM(H36:H39)+SUM(H43:H48))/H40</f>
        <v>72.518591760029992</v>
      </c>
    </row>
    <row r="30" spans="6:10" ht="33" customHeight="1" x14ac:dyDescent="0.25">
      <c r="F30" s="1" t="s">
        <v>25</v>
      </c>
      <c r="G30" s="61"/>
      <c r="H30" s="73">
        <v>0.95</v>
      </c>
      <c r="I30" s="79" t="s">
        <v>67</v>
      </c>
      <c r="J30" s="80" t="s">
        <v>68</v>
      </c>
    </row>
    <row r="31" spans="6:10" ht="94.5" customHeight="1" thickBot="1" x14ac:dyDescent="0.3">
      <c r="F31" s="10" t="s">
        <v>27</v>
      </c>
      <c r="G31" s="11" t="s">
        <v>2</v>
      </c>
      <c r="H31" s="36">
        <f>H29*H30</f>
        <v>68.892662172028494</v>
      </c>
      <c r="I31" s="79"/>
      <c r="J31" s="80"/>
    </row>
    <row r="32" spans="6:10" x14ac:dyDescent="0.25">
      <c r="H32" s="15"/>
    </row>
    <row r="33" spans="6:8" x14ac:dyDescent="0.25">
      <c r="F33" s="13"/>
      <c r="G33" s="14"/>
      <c r="H33" s="15"/>
    </row>
    <row r="34" spans="6:8" x14ac:dyDescent="0.25">
      <c r="F34" s="12"/>
      <c r="G34" s="12"/>
      <c r="H34" s="12"/>
    </row>
    <row r="35" spans="6:8" x14ac:dyDescent="0.25">
      <c r="F35" s="42" t="s">
        <v>20</v>
      </c>
      <c r="G35" s="43"/>
      <c r="H35" s="44"/>
    </row>
    <row r="36" spans="6:8" x14ac:dyDescent="0.25">
      <c r="F36" s="45" t="str">
        <f>F8</f>
        <v>Investeringskostnader</v>
      </c>
      <c r="G36" s="46" t="s">
        <v>21</v>
      </c>
      <c r="H36" s="70">
        <f>H14*100*1000*H4</f>
        <v>1652249434190.166</v>
      </c>
    </row>
    <row r="37" spans="6:8" x14ac:dyDescent="0.25">
      <c r="F37" s="45" t="str">
        <f>F15</f>
        <v>Faste driftskostnader</v>
      </c>
      <c r="G37" s="46" t="s">
        <v>21</v>
      </c>
      <c r="H37" s="70">
        <f>-PV($C$5,$C$4,H15*100*1000*H4)</f>
        <v>267494299523.95932</v>
      </c>
    </row>
    <row r="38" spans="6:8" x14ac:dyDescent="0.25">
      <c r="F38" s="45" t="str">
        <f>F22</f>
        <v>Variable kostnader eks brensel</v>
      </c>
      <c r="G38" s="46" t="s">
        <v>21</v>
      </c>
      <c r="H38" s="70">
        <f>-PV($C$5,$C$4,H22*1000*H4*H5)</f>
        <v>119254424555.57321</v>
      </c>
    </row>
    <row r="39" spans="6:8" x14ac:dyDescent="0.25">
      <c r="F39" s="45" t="s">
        <v>62</v>
      </c>
      <c r="G39" s="46" t="s">
        <v>21</v>
      </c>
      <c r="H39" s="70">
        <f>-PV($C$5,$C$4,H4*H21*1000*H5)</f>
        <v>1010605144806.3374</v>
      </c>
    </row>
    <row r="40" spans="6:8" x14ac:dyDescent="0.25">
      <c r="F40" s="45" t="s">
        <v>22</v>
      </c>
      <c r="G40" s="46" t="s">
        <v>3</v>
      </c>
      <c r="H40" s="70">
        <f>-PV($C$5+$C$6,$C$4,H4*H5*1000)</f>
        <v>60781360846.519821</v>
      </c>
    </row>
    <row r="41" spans="6:8" x14ac:dyDescent="0.25">
      <c r="F41" s="27"/>
      <c r="G41" s="47"/>
      <c r="H41" s="71"/>
    </row>
    <row r="42" spans="6:8" x14ac:dyDescent="0.25">
      <c r="F42" s="67" t="s">
        <v>54</v>
      </c>
      <c r="G42" s="46"/>
      <c r="H42" s="72"/>
    </row>
    <row r="43" spans="6:8" x14ac:dyDescent="0.25">
      <c r="F43" s="68" t="s">
        <v>61</v>
      </c>
      <c r="G43" s="46" t="s">
        <v>21</v>
      </c>
      <c r="H43" s="72">
        <f>-PV($C$5,$C$4,H24*1000*H4*H5)</f>
        <v>761903267993.93982</v>
      </c>
    </row>
    <row r="44" spans="6:8" x14ac:dyDescent="0.25">
      <c r="F44" s="69" t="s">
        <v>63</v>
      </c>
      <c r="G44" s="46" t="s">
        <v>21</v>
      </c>
      <c r="H44" s="70">
        <f>-PV($C$5,$C$4,H25*1000*H4*H5)</f>
        <v>99378687129.644333</v>
      </c>
    </row>
    <row r="45" spans="6:8" x14ac:dyDescent="0.25">
      <c r="F45" s="17"/>
      <c r="G45" s="46"/>
      <c r="H45" s="70"/>
    </row>
    <row r="46" spans="6:8" x14ac:dyDescent="0.25">
      <c r="F46" s="67" t="s">
        <v>57</v>
      </c>
      <c r="G46" s="46"/>
      <c r="H46" s="71"/>
    </row>
    <row r="47" spans="6:8" x14ac:dyDescent="0.25">
      <c r="F47" s="68" t="s">
        <v>61</v>
      </c>
      <c r="G47" s="46" t="s">
        <v>21</v>
      </c>
      <c r="H47" s="71">
        <f>-PV($C$5,$C$4,H27*1000*H4*H5)</f>
        <v>198757374259.28867</v>
      </c>
    </row>
    <row r="48" spans="6:8" x14ac:dyDescent="0.25">
      <c r="F48" s="69" t="s">
        <v>63</v>
      </c>
      <c r="G48" s="46" t="s">
        <v>21</v>
      </c>
      <c r="H48" s="71">
        <f>-PV($C$5,$C$4,H28*1000*H4*H5)</f>
        <v>298136061388.93304</v>
      </c>
    </row>
  </sheetData>
  <mergeCells count="4">
    <mergeCell ref="I9:I13"/>
    <mergeCell ref="J9:J13"/>
    <mergeCell ref="I30:I31"/>
    <mergeCell ref="J30:J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2017-06-12T12:52:53Z</dcterms:modified>
</cp:coreProperties>
</file>