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Felles\Prosjekt\2016_Kostnadsrapport\Fase3\Regneark - MÅ IKKE FLYTTES\"/>
    </mc:Choice>
  </mc:AlternateContent>
  <bookViews>
    <workbookView xWindow="0" yWindow="0" windowWidth="28800" windowHeight="13365"/>
  </bookViews>
  <sheets>
    <sheet name="Kostnad 2016" sheetId="2"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 r="C7" i="2"/>
  <c r="C6" i="2"/>
  <c r="C5" i="2"/>
  <c r="H33" i="2" l="1"/>
  <c r="D32" i="2" s="1"/>
  <c r="H31" i="2" l="1"/>
  <c r="H29" i="2"/>
  <c r="H16" i="2"/>
  <c r="H17" i="2" l="1"/>
  <c r="I16" i="2"/>
  <c r="I17" i="2" s="1"/>
  <c r="J16" i="2"/>
  <c r="J17" i="2" s="1"/>
  <c r="H28" i="2"/>
  <c r="C9" i="2"/>
  <c r="H20" i="2" l="1"/>
  <c r="H19" i="2"/>
  <c r="I19" i="2"/>
  <c r="I20" i="2"/>
  <c r="J19" i="2"/>
  <c r="J20" i="2"/>
  <c r="H36" i="2" l="1"/>
  <c r="F30" i="2"/>
  <c r="F29" i="2"/>
  <c r="F28" i="2"/>
  <c r="F27" i="2"/>
  <c r="H27" i="2"/>
  <c r="H22" i="2" l="1"/>
</calcChain>
</file>

<file path=xl/sharedStrings.xml><?xml version="1.0" encoding="utf-8"?>
<sst xmlns="http://schemas.openxmlformats.org/spreadsheetml/2006/main" count="70" uniqueCount="55">
  <si>
    <t>øre/kWh</t>
  </si>
  <si>
    <t>kWh</t>
  </si>
  <si>
    <t>Enhet</t>
  </si>
  <si>
    <t>timer/år</t>
  </si>
  <si>
    <t xml:space="preserve">   Byggetidsrenter     </t>
  </si>
  <si>
    <t xml:space="preserve">Sum investeringskostnader </t>
  </si>
  <si>
    <t>Elproduksjon</t>
  </si>
  <si>
    <t>GWh/år</t>
  </si>
  <si>
    <t>Nåverdier</t>
  </si>
  <si>
    <t>Mwel/Mwkjel</t>
  </si>
  <si>
    <t>øre</t>
  </si>
  <si>
    <t>Produsert elektrisitet</t>
  </si>
  <si>
    <t>Produsert elektrisitet med degradering</t>
  </si>
  <si>
    <t>Merknad</t>
  </si>
  <si>
    <t>Kilde</t>
  </si>
  <si>
    <t>Faktor for teknologiforbedring 2016 - 2035</t>
  </si>
  <si>
    <t>LCOE 2035</t>
  </si>
  <si>
    <t>år</t>
  </si>
  <si>
    <t>Byggetid</t>
  </si>
  <si>
    <t>Levetid</t>
  </si>
  <si>
    <t>Energiinhold</t>
  </si>
  <si>
    <t>Brenselpris</t>
  </si>
  <si>
    <t>Degraderingsrate</t>
  </si>
  <si>
    <t>prosent/år</t>
  </si>
  <si>
    <t>GWh</t>
  </si>
  <si>
    <t>enhet</t>
  </si>
  <si>
    <t>Diskonteringsrente</t>
  </si>
  <si>
    <t>prosent</t>
  </si>
  <si>
    <t>Landbasert vindkraft</t>
  </si>
  <si>
    <t>kr/kW</t>
  </si>
  <si>
    <t>MW</t>
  </si>
  <si>
    <t>kWh/kg</t>
  </si>
  <si>
    <t>2014-2015</t>
  </si>
  <si>
    <t>2011-2013</t>
  </si>
  <si>
    <t>2007-2008</t>
  </si>
  <si>
    <t>Ytelse representert</t>
  </si>
  <si>
    <t>Turbiner</t>
  </si>
  <si>
    <t>Fundament</t>
  </si>
  <si>
    <t>Bygg/vei/kai/anlegg</t>
  </si>
  <si>
    <t>internt nett</t>
  </si>
  <si>
    <t>eksternt nett</t>
  </si>
  <si>
    <t xml:space="preserve">Grunnervervelse &amp; engangskostnader </t>
  </si>
  <si>
    <t>Prosjektledelse</t>
  </si>
  <si>
    <t>Variable drifts- og vedlikeholdskostnader</t>
  </si>
  <si>
    <t>LCOE 2016 NOK</t>
  </si>
  <si>
    <t>Fullasttimer (gjennomsnitt)</t>
  </si>
  <si>
    <t>Investeringskostnader (gjennomsnitt)</t>
  </si>
  <si>
    <t>LCOE uten eksternt nett</t>
  </si>
  <si>
    <t>For 2014 og 2015 er det lagt til grunn utbyggers eget estimat for normalårsproduksjon.  For 2007-2013 har NVE beregnet 'erfaringsbasert normalårsprodukjson' ved å korrigere faktisk produksjon med NVEs produksjonsindekser.</t>
  </si>
  <si>
    <t>For Raggovidda stemmer utbyggers estimat med NVEs beregning av erfaringsbasert normalårsproduksjon etter ett år med driftserfaringer.</t>
  </si>
  <si>
    <t>Investeringskostnader er samlet inn direkte fra vindparkeierne ved idriftsettelse, fordelt på kostnadspostene nedenfor.  NVE har konvertert til 2016 NOK via SSBs konsumprisindeks, med idriftsettelsesår som utgangspunkt med mindre annet referanseår er spesifisert ved innrapportering av kostnadene.</t>
  </si>
  <si>
    <t>Byggetidsrenter er estimert av NVE ved å bruke kalkulasjonsrente og en referansebyggetid på 1,3 år.</t>
  </si>
  <si>
    <t xml:space="preserve">NVE samler ikke inn tall for drifts- og vedlikeholdskostnader og tallet lagt til grunn er et skjønnsmessig estimat for størrelsesorden.  </t>
  </si>
  <si>
    <t xml:space="preserve">Det er lagt til grunn samme nivå for drifts- og vedlikeholdskostnadene for alle vindkraftverk da NVE ikke har detaljerte tall på dette.  </t>
  </si>
  <si>
    <t>https://emp.lbl.gov/sites/all/files/lbnl-1005717.pdf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</si>
</sst>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General_)"/>
    <numFmt numFmtId="165" formatCode="0.0"/>
    <numFmt numFmtId="166" formatCode="0.0\ %"/>
  </numFmts>
  <fonts count="13" x14ac:knownFonts="1">
    <font>
      <sz val="11"/>
      <color theme="1"/>
      <name val="Calibri"/>
      <family val="2"/>
      <scheme val="minor"/>
    </font>
    <font>
      <b/>
      <sz val="11"/>
      <color theme="0"/>
      <name val="Calibri"/>
      <family val="2"/>
      <scheme val="minor"/>
    </font>
    <font>
      <sz val="10"/>
      <color theme="1"/>
      <name val="Calibri"/>
      <family val="2"/>
      <scheme val="minor"/>
    </font>
    <font>
      <sz val="12"/>
      <name val="Helv"/>
    </font>
    <font>
      <sz val="10"/>
      <name val="Calibri"/>
      <family val="2"/>
      <scheme val="minor"/>
    </font>
    <font>
      <b/>
      <sz val="10"/>
      <color theme="0"/>
      <name val="Calibri"/>
      <family val="2"/>
      <scheme val="minor"/>
    </font>
    <font>
      <sz val="10"/>
      <color theme="0"/>
      <name val="Calibri"/>
      <family val="2"/>
      <scheme val="minor"/>
    </font>
    <font>
      <b/>
      <sz val="10"/>
      <name val="Calibri"/>
      <family val="2"/>
      <scheme val="minor"/>
    </font>
    <font>
      <sz val="10"/>
      <name val="Arial"/>
      <family val="2"/>
    </font>
    <font>
      <sz val="10"/>
      <color theme="1" tint="0.499984740745262"/>
      <name val="Calibri"/>
      <family val="2"/>
      <scheme val="minor"/>
    </font>
    <font>
      <sz val="11"/>
      <color theme="1"/>
      <name val="Calibri"/>
      <family val="2"/>
      <scheme val="minor"/>
    </font>
    <font>
      <b/>
      <sz val="10"/>
      <color theme="0" tint="-0.34998626667073579"/>
      <name val="Calibri"/>
      <family val="2"/>
      <scheme val="minor"/>
    </font>
    <font>
      <sz val="10"/>
      <color theme="0" tint="-0.34998626667073579"/>
      <name val="Calibri"/>
      <family val="2"/>
      <scheme val="minor"/>
    </font>
  </fonts>
  <fills count="6">
    <fill>
      <patternFill patternType="none"/>
    </fill>
    <fill>
      <patternFill patternType="gray125"/>
    </fill>
    <fill>
      <patternFill patternType="solid">
        <fgColor theme="4"/>
        <bgColor theme="4"/>
      </patternFill>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s>
  <borders count="34">
    <border>
      <left/>
      <right/>
      <top/>
      <bottom/>
      <diagonal/>
    </border>
    <border>
      <left style="medium">
        <color indexed="64"/>
      </left>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theme="4"/>
      </left>
      <right/>
      <top style="thin">
        <color theme="4"/>
      </top>
      <bottom/>
      <diagonal/>
    </border>
    <border>
      <left/>
      <right/>
      <top style="thin">
        <color theme="4"/>
      </top>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164" fontId="3" fillId="0" borderId="0"/>
    <xf numFmtId="43" fontId="8" fillId="0" borderId="0" applyFont="0" applyFill="0" applyBorder="0" applyAlignment="0" applyProtection="0"/>
    <xf numFmtId="9" fontId="10" fillId="0" borderId="0" applyFont="0" applyFill="0" applyBorder="0" applyAlignment="0" applyProtection="0"/>
  </cellStyleXfs>
  <cellXfs count="71">
    <xf numFmtId="0" fontId="0" fillId="0" borderId="0" xfId="0"/>
    <xf numFmtId="164" fontId="7" fillId="0" borderId="1" xfId="1" applyFont="1" applyFill="1" applyBorder="1"/>
    <xf numFmtId="164" fontId="4" fillId="0" borderId="12" xfId="1" applyFont="1" applyFill="1" applyBorder="1" applyAlignment="1">
      <alignment horizontal="right"/>
    </xf>
    <xf numFmtId="164" fontId="7" fillId="0" borderId="15" xfId="1" applyFont="1" applyFill="1" applyBorder="1"/>
    <xf numFmtId="164" fontId="7" fillId="0" borderId="2" xfId="1" applyFont="1" applyFill="1" applyBorder="1"/>
    <xf numFmtId="164" fontId="7" fillId="0" borderId="17" xfId="1" applyFont="1" applyFill="1" applyBorder="1" applyAlignment="1">
      <alignment horizontal="right"/>
    </xf>
    <xf numFmtId="164" fontId="4" fillId="0" borderId="17" xfId="1" applyFont="1" applyFill="1" applyBorder="1" applyAlignment="1">
      <alignment horizontal="right"/>
    </xf>
    <xf numFmtId="164" fontId="4" fillId="0" borderId="2" xfId="1" applyFont="1" applyFill="1" applyBorder="1"/>
    <xf numFmtId="164" fontId="4" fillId="0" borderId="16" xfId="1" applyFont="1" applyFill="1" applyBorder="1" applyAlignment="1">
      <alignment horizontal="right"/>
    </xf>
    <xf numFmtId="164" fontId="4" fillId="0" borderId="19" xfId="1" applyFont="1" applyFill="1" applyBorder="1" applyAlignment="1">
      <alignment horizontal="right"/>
    </xf>
    <xf numFmtId="164" fontId="7" fillId="0" borderId="21" xfId="1" applyFont="1" applyFill="1" applyBorder="1"/>
    <xf numFmtId="164" fontId="7" fillId="0" borderId="22" xfId="1" applyFont="1" applyFill="1" applyBorder="1" applyAlignment="1">
      <alignment horizontal="right"/>
    </xf>
    <xf numFmtId="0" fontId="4" fillId="0" borderId="0" xfId="0" applyFont="1"/>
    <xf numFmtId="164" fontId="9" fillId="0" borderId="0" xfId="1" applyFont="1" applyFill="1" applyBorder="1"/>
    <xf numFmtId="164" fontId="9" fillId="0" borderId="0" xfId="1" applyFont="1" applyFill="1" applyBorder="1" applyAlignment="1">
      <alignment horizontal="right"/>
    </xf>
    <xf numFmtId="165" fontId="9" fillId="0" borderId="0" xfId="2" applyNumberFormat="1" applyFont="1" applyFill="1" applyBorder="1"/>
    <xf numFmtId="165" fontId="9" fillId="0" borderId="0" xfId="1" applyNumberFormat="1" applyFont="1" applyFill="1" applyBorder="1"/>
    <xf numFmtId="164" fontId="7" fillId="0" borderId="23" xfId="1" applyFont="1" applyFill="1" applyBorder="1"/>
    <xf numFmtId="0" fontId="7" fillId="0" borderId="4" xfId="0" applyFont="1" applyBorder="1" applyAlignment="1">
      <alignment horizontal="right"/>
    </xf>
    <xf numFmtId="0" fontId="7" fillId="0" borderId="24" xfId="0" applyFont="1" applyBorder="1"/>
    <xf numFmtId="164" fontId="4" fillId="0" borderId="23" xfId="0" applyNumberFormat="1" applyFont="1" applyBorder="1"/>
    <xf numFmtId="0" fontId="4" fillId="0" borderId="8" xfId="0" applyFont="1" applyBorder="1" applyAlignment="1">
      <alignment horizontal="right"/>
    </xf>
    <xf numFmtId="164" fontId="4" fillId="0" borderId="4" xfId="0" applyNumberFormat="1" applyFont="1" applyBorder="1"/>
    <xf numFmtId="164" fontId="4" fillId="0" borderId="18" xfId="0" applyNumberFormat="1" applyFont="1" applyBorder="1"/>
    <xf numFmtId="0" fontId="4" fillId="0" borderId="17" xfId="0" applyFont="1" applyBorder="1" applyAlignment="1">
      <alignment horizontal="right"/>
    </xf>
    <xf numFmtId="40" fontId="4" fillId="0" borderId="0" xfId="0" applyNumberFormat="1" applyFont="1" applyBorder="1"/>
    <xf numFmtId="0" fontId="4" fillId="0" borderId="0" xfId="0" applyFont="1" applyBorder="1"/>
    <xf numFmtId="0" fontId="5" fillId="2" borderId="27" xfId="0" applyFont="1" applyFill="1" applyBorder="1"/>
    <xf numFmtId="0" fontId="5" fillId="2" borderId="28" xfId="0" applyFont="1" applyFill="1" applyBorder="1"/>
    <xf numFmtId="2" fontId="4" fillId="0" borderId="0" xfId="0" applyNumberFormat="1" applyFont="1"/>
    <xf numFmtId="0" fontId="2" fillId="0" borderId="0" xfId="0" applyFont="1" applyBorder="1"/>
    <xf numFmtId="0" fontId="0" fillId="4" borderId="0" xfId="0" applyFill="1"/>
    <xf numFmtId="164" fontId="5" fillId="4" borderId="2" xfId="1" applyFont="1" applyFill="1" applyBorder="1"/>
    <xf numFmtId="164" fontId="5" fillId="4" borderId="8" xfId="1" applyFont="1" applyFill="1" applyBorder="1" applyAlignment="1">
      <alignment horizontal="right"/>
    </xf>
    <xf numFmtId="0" fontId="6" fillId="4" borderId="9" xfId="0" applyFont="1" applyFill="1" applyBorder="1" applyAlignment="1">
      <alignment horizontal="center"/>
    </xf>
    <xf numFmtId="0" fontId="6" fillId="4" borderId="10" xfId="0" applyFont="1" applyFill="1" applyBorder="1" applyAlignment="1">
      <alignment horizontal="center"/>
    </xf>
    <xf numFmtId="164" fontId="5" fillId="4" borderId="11" xfId="1" applyFont="1" applyFill="1" applyBorder="1" applyAlignment="1">
      <alignment horizontal="right"/>
    </xf>
    <xf numFmtId="0" fontId="0" fillId="0" borderId="25" xfId="0" applyBorder="1"/>
    <xf numFmtId="40" fontId="0" fillId="0" borderId="26" xfId="0" applyNumberFormat="1" applyBorder="1"/>
    <xf numFmtId="0" fontId="4" fillId="0" borderId="17" xfId="0" applyFont="1" applyFill="1" applyBorder="1" applyAlignment="1">
      <alignment horizontal="right"/>
    </xf>
    <xf numFmtId="40" fontId="0" fillId="0" borderId="0" xfId="0" applyNumberFormat="1"/>
    <xf numFmtId="0" fontId="0" fillId="0" borderId="0" xfId="0" applyBorder="1"/>
    <xf numFmtId="2" fontId="7" fillId="0" borderId="0" xfId="0" applyNumberFormat="1" applyFont="1" applyBorder="1"/>
    <xf numFmtId="2" fontId="4" fillId="0" borderId="0" xfId="0" applyNumberFormat="1" applyFont="1" applyBorder="1"/>
    <xf numFmtId="0" fontId="5" fillId="0" borderId="0" xfId="0" applyFont="1" applyFill="1" applyBorder="1"/>
    <xf numFmtId="166" fontId="2" fillId="0" borderId="0" xfId="3" applyNumberFormat="1" applyFont="1" applyBorder="1"/>
    <xf numFmtId="166" fontId="0" fillId="0" borderId="0" xfId="3" applyNumberFormat="1" applyFont="1" applyBorder="1"/>
    <xf numFmtId="164" fontId="5" fillId="4" borderId="0" xfId="1" applyFont="1" applyFill="1" applyBorder="1"/>
    <xf numFmtId="0" fontId="0" fillId="5" borderId="2" xfId="0" applyFont="1" applyFill="1" applyBorder="1"/>
    <xf numFmtId="0" fontId="0" fillId="5" borderId="2" xfId="0" applyFill="1" applyBorder="1"/>
    <xf numFmtId="164" fontId="7" fillId="0" borderId="31" xfId="1" applyFont="1" applyFill="1" applyBorder="1"/>
    <xf numFmtId="164" fontId="7" fillId="0" borderId="19" xfId="1" applyFont="1" applyFill="1" applyBorder="1" applyAlignment="1">
      <alignment horizontal="right"/>
    </xf>
    <xf numFmtId="164" fontId="5" fillId="4" borderId="9" xfId="1" applyFont="1" applyFill="1" applyBorder="1" applyAlignment="1">
      <alignment horizontal="center"/>
    </xf>
    <xf numFmtId="164" fontId="5" fillId="4" borderId="10" xfId="1" applyFont="1" applyFill="1" applyBorder="1" applyAlignment="1">
      <alignment horizontal="center"/>
    </xf>
    <xf numFmtId="3" fontId="4" fillId="3" borderId="13" xfId="1" applyNumberFormat="1" applyFont="1" applyFill="1" applyBorder="1" applyAlignment="1">
      <alignment horizontal="center"/>
    </xf>
    <xf numFmtId="3" fontId="4" fillId="3" borderId="14" xfId="1" applyNumberFormat="1" applyFont="1" applyFill="1" applyBorder="1" applyAlignment="1">
      <alignment horizontal="center"/>
    </xf>
    <xf numFmtId="3" fontId="4" fillId="3" borderId="9" xfId="1" applyNumberFormat="1" applyFont="1" applyFill="1" applyBorder="1" applyAlignment="1">
      <alignment horizontal="center"/>
    </xf>
    <xf numFmtId="3" fontId="4" fillId="3" borderId="10" xfId="1" applyNumberFormat="1" applyFont="1" applyFill="1" applyBorder="1" applyAlignment="1">
      <alignment horizontal="center"/>
    </xf>
    <xf numFmtId="3" fontId="4" fillId="0" borderId="9" xfId="1" applyNumberFormat="1" applyFont="1" applyFill="1" applyBorder="1" applyAlignment="1">
      <alignment horizontal="center"/>
    </xf>
    <xf numFmtId="3" fontId="4" fillId="0" borderId="3" xfId="2" applyNumberFormat="1" applyFont="1" applyFill="1" applyBorder="1" applyAlignment="1">
      <alignment horizontal="center"/>
    </xf>
    <xf numFmtId="165" fontId="7" fillId="0" borderId="22" xfId="0" applyNumberFormat="1" applyFont="1" applyFill="1" applyBorder="1" applyAlignment="1">
      <alignment horizontal="center"/>
    </xf>
    <xf numFmtId="165" fontId="7" fillId="0" borderId="30" xfId="0" applyNumberFormat="1" applyFont="1" applyFill="1" applyBorder="1" applyAlignment="1">
      <alignment horizontal="center"/>
    </xf>
    <xf numFmtId="4" fontId="4" fillId="3" borderId="9" xfId="1" applyNumberFormat="1" applyFont="1" applyFill="1" applyBorder="1" applyAlignment="1">
      <alignment horizontal="center"/>
    </xf>
    <xf numFmtId="164" fontId="7" fillId="0" borderId="5" xfId="1" applyFont="1" applyFill="1" applyBorder="1"/>
    <xf numFmtId="164" fontId="7" fillId="0" borderId="32" xfId="1" applyFont="1" applyFill="1" applyBorder="1" applyAlignment="1">
      <alignment horizontal="right"/>
    </xf>
    <xf numFmtId="165" fontId="7" fillId="0" borderId="33" xfId="0" applyNumberFormat="1" applyFont="1" applyFill="1" applyBorder="1" applyAlignment="1">
      <alignment horizontal="center"/>
    </xf>
    <xf numFmtId="164" fontId="11" fillId="0" borderId="20" xfId="1" applyFont="1" applyFill="1" applyBorder="1" applyAlignment="1">
      <alignment horizontal="center"/>
    </xf>
    <xf numFmtId="164" fontId="12" fillId="0" borderId="29" xfId="1"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cellXfs>
  <cellStyles count="4">
    <cellStyle name="Normal" xfId="0" builtinId="0"/>
    <cellStyle name="Normal_Ark1" xfId="1"/>
    <cellStyle name="Prosent" xfId="3" builtinId="5"/>
    <cellStyle name="Tusenskille_Ark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utsetning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nnverdier og priser"/>
      <sheetName val="CO2-avgift, grunnavgift"/>
      <sheetName val="CO2-kvoter"/>
      <sheetName val="byggetid levetid rente"/>
      <sheetName val="NOX avgift"/>
    </sheetNames>
    <sheetDataSet>
      <sheetData sheetId="0"/>
      <sheetData sheetId="1"/>
      <sheetData sheetId="2"/>
      <sheetData sheetId="3">
        <row r="10">
          <cell r="D10">
            <v>0.06</v>
          </cell>
        </row>
        <row r="21">
          <cell r="C21">
            <v>1.3</v>
          </cell>
        </row>
        <row r="42">
          <cell r="E42">
            <v>1E-3</v>
          </cell>
        </row>
        <row r="46">
          <cell r="C46">
            <v>20</v>
          </cell>
        </row>
      </sheetData>
      <sheetData sheetId="4"/>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7"/>
  <sheetViews>
    <sheetView tabSelected="1" zoomScale="120" zoomScaleNormal="120" workbookViewId="0">
      <selection activeCell="F28" sqref="F28"/>
    </sheetView>
  </sheetViews>
  <sheetFormatPr baseColWidth="10" defaultRowHeight="15" x14ac:dyDescent="0.25"/>
  <cols>
    <col min="1" max="1" width="16.85546875" customWidth="1"/>
    <col min="6" max="6" width="43.5703125" customWidth="1"/>
    <col min="8" max="8" width="16.140625" customWidth="1"/>
    <col min="9" max="9" width="14.7109375" customWidth="1"/>
    <col min="10" max="10" width="15.140625" customWidth="1"/>
    <col min="11" max="11" width="24.42578125" customWidth="1"/>
    <col min="12" max="12" width="20.140625" customWidth="1"/>
  </cols>
  <sheetData>
    <row r="3" spans="1:12" ht="15.75" thickBot="1" x14ac:dyDescent="0.3"/>
    <row r="4" spans="1:12" x14ac:dyDescent="0.25">
      <c r="A4" s="27"/>
      <c r="B4" s="27" t="s">
        <v>25</v>
      </c>
      <c r="C4" s="28"/>
      <c r="D4" s="44"/>
      <c r="F4" s="68" t="s">
        <v>28</v>
      </c>
      <c r="G4" s="69"/>
      <c r="H4" s="69"/>
      <c r="I4" s="69"/>
      <c r="J4" s="70"/>
      <c r="K4" s="31"/>
      <c r="L4" s="31"/>
    </row>
    <row r="5" spans="1:12" x14ac:dyDescent="0.25">
      <c r="A5" s="27" t="s">
        <v>18</v>
      </c>
      <c r="B5" t="s">
        <v>17</v>
      </c>
      <c r="C5">
        <f>'[1]byggetid levetid rente'!$C$21</f>
        <v>1.3</v>
      </c>
      <c r="E5" s="30"/>
      <c r="F5" s="32"/>
      <c r="G5" s="33" t="s">
        <v>2</v>
      </c>
      <c r="H5" s="34" t="s">
        <v>32</v>
      </c>
      <c r="I5" s="34" t="s">
        <v>33</v>
      </c>
      <c r="J5" s="35" t="s">
        <v>34</v>
      </c>
      <c r="K5" s="31"/>
      <c r="L5" s="31"/>
    </row>
    <row r="6" spans="1:12" ht="15.75" thickBot="1" x14ac:dyDescent="0.3">
      <c r="A6" s="27" t="s">
        <v>19</v>
      </c>
      <c r="B6" t="s">
        <v>17</v>
      </c>
      <c r="C6" s="41">
        <f>'[1]byggetid levetid rente'!$C$46</f>
        <v>20</v>
      </c>
      <c r="E6" s="30"/>
      <c r="F6" s="32" t="s">
        <v>35</v>
      </c>
      <c r="G6" s="36" t="s">
        <v>30</v>
      </c>
      <c r="H6" s="52">
        <v>65</v>
      </c>
      <c r="I6" s="52">
        <v>348</v>
      </c>
      <c r="J6" s="53">
        <v>108</v>
      </c>
      <c r="K6" s="47" t="s">
        <v>14</v>
      </c>
      <c r="L6" s="32" t="s">
        <v>13</v>
      </c>
    </row>
    <row r="7" spans="1:12" x14ac:dyDescent="0.25">
      <c r="A7" s="27" t="s">
        <v>26</v>
      </c>
      <c r="B7" t="s">
        <v>23</v>
      </c>
      <c r="C7" s="45">
        <f>'[1]byggetid levetid rente'!$D$10</f>
        <v>0.06</v>
      </c>
      <c r="E7" s="30"/>
      <c r="F7" s="1" t="s">
        <v>45</v>
      </c>
      <c r="G7" s="2" t="s">
        <v>3</v>
      </c>
      <c r="H7" s="54">
        <v>3323</v>
      </c>
      <c r="I7" s="54">
        <v>2831</v>
      </c>
      <c r="J7" s="55">
        <v>2832</v>
      </c>
      <c r="K7" t="s">
        <v>48</v>
      </c>
      <c r="L7" t="s">
        <v>49</v>
      </c>
    </row>
    <row r="8" spans="1:12" x14ac:dyDescent="0.25">
      <c r="A8" s="27" t="s">
        <v>22</v>
      </c>
      <c r="B8" s="12" t="s">
        <v>27</v>
      </c>
      <c r="C8" s="46">
        <f>'[1]byggetid levetid rente'!$E$42</f>
        <v>1E-3</v>
      </c>
      <c r="E8" s="12"/>
      <c r="F8" s="50" t="s">
        <v>46</v>
      </c>
      <c r="G8" s="51"/>
      <c r="H8" s="66"/>
      <c r="I8" s="66"/>
      <c r="J8" s="67"/>
      <c r="K8" t="s">
        <v>50</v>
      </c>
    </row>
    <row r="9" spans="1:12" x14ac:dyDescent="0.25">
      <c r="A9" s="27" t="s">
        <v>20</v>
      </c>
      <c r="B9" s="12" t="s">
        <v>31</v>
      </c>
      <c r="C9" s="42">
        <f>'[1]Brennverdier og priser'!$E$12</f>
        <v>0</v>
      </c>
      <c r="D9" s="12"/>
      <c r="E9" s="12"/>
      <c r="F9" s="48" t="s">
        <v>36</v>
      </c>
      <c r="G9" s="6" t="s">
        <v>29</v>
      </c>
      <c r="H9" s="56">
        <v>7873.6480659326598</v>
      </c>
      <c r="I9" s="56">
        <v>8340.7175076757412</v>
      </c>
      <c r="J9" s="57">
        <v>7244.1792880894109</v>
      </c>
    </row>
    <row r="10" spans="1:12" x14ac:dyDescent="0.25">
      <c r="A10" s="27" t="s">
        <v>21</v>
      </c>
      <c r="B10" s="12" t="s">
        <v>0</v>
      </c>
      <c r="C10" s="43">
        <v>0</v>
      </c>
      <c r="E10" s="12"/>
      <c r="F10" s="48" t="s">
        <v>37</v>
      </c>
      <c r="G10" s="6" t="s">
        <v>29</v>
      </c>
      <c r="H10" s="56">
        <v>730.08819684983166</v>
      </c>
      <c r="I10" s="56">
        <v>670.9972628590632</v>
      </c>
      <c r="J10" s="57">
        <v>510.58382615977081</v>
      </c>
    </row>
    <row r="11" spans="1:12" x14ac:dyDescent="0.25">
      <c r="E11" s="12"/>
      <c r="F11" s="48" t="s">
        <v>38</v>
      </c>
      <c r="G11" s="6" t="s">
        <v>29</v>
      </c>
      <c r="H11" s="56">
        <v>1423.095132203367</v>
      </c>
      <c r="I11" s="56">
        <v>1862.2583244462239</v>
      </c>
      <c r="J11" s="57">
        <v>746.27065485832998</v>
      </c>
    </row>
    <row r="12" spans="1:12" x14ac:dyDescent="0.25">
      <c r="B12" s="12"/>
      <c r="C12" s="12"/>
      <c r="D12" s="12"/>
      <c r="E12" s="12"/>
      <c r="F12" s="48" t="s">
        <v>39</v>
      </c>
      <c r="G12" s="6" t="s">
        <v>29</v>
      </c>
      <c r="H12" s="56">
        <v>268.39528858316498</v>
      </c>
      <c r="I12" s="56">
        <v>581.29262015998574</v>
      </c>
      <c r="J12" s="57">
        <v>396.61478601160428</v>
      </c>
    </row>
    <row r="13" spans="1:12" x14ac:dyDescent="0.25">
      <c r="E13" s="29"/>
      <c r="F13" s="48" t="s">
        <v>40</v>
      </c>
      <c r="G13" s="6" t="s">
        <v>29</v>
      </c>
      <c r="H13" s="56">
        <v>239.45300988148151</v>
      </c>
      <c r="I13" s="56">
        <v>520.95239088417964</v>
      </c>
      <c r="J13" s="57">
        <v>814.69145640734848</v>
      </c>
    </row>
    <row r="14" spans="1:12" x14ac:dyDescent="0.25">
      <c r="B14" s="12"/>
      <c r="C14" s="12"/>
      <c r="D14" s="29"/>
      <c r="E14" s="29"/>
      <c r="F14" s="49" t="s">
        <v>41</v>
      </c>
      <c r="G14" s="6" t="s">
        <v>29</v>
      </c>
      <c r="H14" s="56">
        <v>91.751001020875421</v>
      </c>
      <c r="I14" s="56">
        <v>184.04810205285179</v>
      </c>
      <c r="J14" s="57">
        <v>42.271682617043474</v>
      </c>
    </row>
    <row r="15" spans="1:12" x14ac:dyDescent="0.25">
      <c r="B15" s="12"/>
      <c r="C15" s="12"/>
      <c r="D15" s="29"/>
      <c r="E15" s="29"/>
      <c r="F15" s="48" t="s">
        <v>42</v>
      </c>
      <c r="G15" s="6" t="s">
        <v>29</v>
      </c>
      <c r="H15" s="56">
        <v>383.44676409696967</v>
      </c>
      <c r="I15" s="56">
        <v>758.90718895837949</v>
      </c>
      <c r="J15" s="57">
        <v>399.69394394162163</v>
      </c>
    </row>
    <row r="16" spans="1:12" x14ac:dyDescent="0.25">
      <c r="F16" s="7" t="s">
        <v>4</v>
      </c>
      <c r="G16" s="6" t="s">
        <v>29</v>
      </c>
      <c r="H16" s="58">
        <f>SUM(H9:H15)*(((1+($C$7))*((1+$C$7)^($C$5)-1))/($C$7*$C$5))-SUM(H9:H15)</f>
        <v>764.19272476087644</v>
      </c>
      <c r="I16" s="58">
        <f t="shared" ref="I16:J16" si="0">SUM(I9:I15)*(((1+($C$7))*((1+$C$7)^($C$5)-1))/($C$7*$C$5))-SUM(I9:I15)</f>
        <v>896.71645820690901</v>
      </c>
      <c r="J16" s="58">
        <f t="shared" si="0"/>
        <v>704.8077076992322</v>
      </c>
      <c r="K16" t="s">
        <v>51</v>
      </c>
    </row>
    <row r="17" spans="4:12" x14ac:dyDescent="0.25">
      <c r="F17" s="3" t="s">
        <v>5</v>
      </c>
      <c r="G17" s="8" t="s">
        <v>29</v>
      </c>
      <c r="H17" s="59">
        <f>SUM(H9:H16)</f>
        <v>11774.070183329226</v>
      </c>
      <c r="I17" s="59">
        <f t="shared" ref="I17:J17" si="1">SUM(I9:I16)</f>
        <v>13815.889855243335</v>
      </c>
      <c r="J17" s="59">
        <f t="shared" si="1"/>
        <v>10859.113345784361</v>
      </c>
    </row>
    <row r="18" spans="4:12" x14ac:dyDescent="0.25">
      <c r="F18" s="3" t="s">
        <v>43</v>
      </c>
      <c r="G18" s="8" t="s">
        <v>0</v>
      </c>
      <c r="H18" s="56">
        <v>10</v>
      </c>
      <c r="I18" s="56">
        <v>10</v>
      </c>
      <c r="J18" s="57">
        <v>10</v>
      </c>
      <c r="K18" t="s">
        <v>52</v>
      </c>
      <c r="L18" t="s">
        <v>53</v>
      </c>
    </row>
    <row r="19" spans="4:12" ht="15.75" thickBot="1" x14ac:dyDescent="0.3">
      <c r="F19" s="10" t="s">
        <v>44</v>
      </c>
      <c r="G19" s="11" t="s">
        <v>0</v>
      </c>
      <c r="H19" s="60">
        <f>-PMT($C$7,$C$6,H17,0)/H7*100+10</f>
        <v>40.891275737222827</v>
      </c>
      <c r="I19" s="60">
        <f t="shared" ref="I19:J19" si="2">-PMT($C$7,$C$6,I17,0)/I7*100+10</f>
        <v>52.547941938197333</v>
      </c>
      <c r="J19" s="60">
        <f t="shared" si="2"/>
        <v>43.430331434096914</v>
      </c>
    </row>
    <row r="20" spans="4:12" x14ac:dyDescent="0.25">
      <c r="F20" s="63" t="s">
        <v>47</v>
      </c>
      <c r="G20" s="64"/>
      <c r="H20" s="65">
        <f>-PMT($C$7,$C$6,(H17-H13),0)/H7*100+H18</f>
        <v>40.263030038056698</v>
      </c>
      <c r="I20" s="65">
        <f t="shared" ref="I20:J20" si="3">-PMT($C$7,$C$6,(I17-I13),0)/I7*100+I18</f>
        <v>50.943597063408603</v>
      </c>
      <c r="J20" s="65">
        <f t="shared" si="3"/>
        <v>40.922262447525569</v>
      </c>
    </row>
    <row r="21" spans="4:12" x14ac:dyDescent="0.25">
      <c r="F21" s="4" t="s">
        <v>15</v>
      </c>
      <c r="G21" s="5"/>
      <c r="H21" s="62">
        <v>0.76</v>
      </c>
      <c r="I21" s="56"/>
      <c r="J21" s="57"/>
      <c r="K21" t="s">
        <v>54</v>
      </c>
    </row>
    <row r="22" spans="4:12" ht="15.75" thickBot="1" x14ac:dyDescent="0.3">
      <c r="F22" s="10" t="s">
        <v>16</v>
      </c>
      <c r="G22" s="11" t="s">
        <v>0</v>
      </c>
      <c r="H22" s="60">
        <f>H19*H21</f>
        <v>31.077369560289348</v>
      </c>
      <c r="I22" s="60"/>
      <c r="J22" s="61"/>
    </row>
    <row r="23" spans="4:12" x14ac:dyDescent="0.25">
      <c r="I23" s="16"/>
      <c r="J23" s="16"/>
    </row>
    <row r="24" spans="4:12" x14ac:dyDescent="0.25">
      <c r="F24" s="13"/>
      <c r="G24" s="14"/>
      <c r="H24" s="16"/>
      <c r="I24" s="16"/>
      <c r="J24" s="16"/>
    </row>
    <row r="25" spans="4:12" x14ac:dyDescent="0.25">
      <c r="F25" s="12"/>
      <c r="G25" s="12"/>
      <c r="H25" s="12"/>
      <c r="I25" s="12"/>
      <c r="J25" s="12"/>
    </row>
    <row r="26" spans="4:12" x14ac:dyDescent="0.25">
      <c r="F26" s="17" t="s">
        <v>8</v>
      </c>
      <c r="G26" s="18" t="s">
        <v>9</v>
      </c>
      <c r="H26" s="19">
        <v>0.1</v>
      </c>
      <c r="I26" s="19"/>
      <c r="J26" s="19"/>
    </row>
    <row r="27" spans="4:12" x14ac:dyDescent="0.25">
      <c r="F27" s="20" t="str">
        <f>F8</f>
        <v>Investeringskostnader (gjennomsnitt)</v>
      </c>
      <c r="G27" s="21" t="s">
        <v>10</v>
      </c>
      <c r="H27" s="22">
        <f>H17*100*1000*H6</f>
        <v>76531456191.639969</v>
      </c>
      <c r="I27" s="22"/>
      <c r="J27" s="22"/>
    </row>
    <row r="28" spans="4:12" x14ac:dyDescent="0.25">
      <c r="F28" s="23" t="e">
        <f>#REF!</f>
        <v>#REF!</v>
      </c>
      <c r="G28" s="24" t="s">
        <v>10</v>
      </c>
      <c r="H28" s="25" t="e">
        <f>-PV($C$7,$C$6,#REF!*100*1000*H6)</f>
        <v>#REF!</v>
      </c>
      <c r="I28" s="25"/>
      <c r="J28" s="25"/>
    </row>
    <row r="29" spans="4:12" x14ac:dyDescent="0.25">
      <c r="F29" s="23" t="str">
        <f>F18</f>
        <v>Variable drifts- og vedlikeholdskostnader</v>
      </c>
      <c r="G29" s="24" t="s">
        <v>10</v>
      </c>
      <c r="H29" s="25">
        <f>-PV($C$7,$C$6,H18*1000*H6*H7)</f>
        <v>24774456336.040039</v>
      </c>
      <c r="I29" s="25"/>
      <c r="J29" s="25"/>
    </row>
    <row r="30" spans="4:12" x14ac:dyDescent="0.25">
      <c r="F30" s="23" t="e">
        <f>#REF!</f>
        <v>#REF!</v>
      </c>
      <c r="G30" s="24" t="s">
        <v>10</v>
      </c>
      <c r="H30" s="25">
        <v>0</v>
      </c>
      <c r="I30" s="25"/>
      <c r="J30" s="25"/>
    </row>
    <row r="31" spans="4:12" x14ac:dyDescent="0.25">
      <c r="F31" s="23" t="s">
        <v>11</v>
      </c>
      <c r="G31" s="24" t="s">
        <v>1</v>
      </c>
      <c r="H31" s="25">
        <f>-PV($C$7,$C$6,H33*1000000)</f>
        <v>2477445633.6040039</v>
      </c>
      <c r="I31" s="25"/>
      <c r="J31" s="25"/>
    </row>
    <row r="32" spans="4:12" x14ac:dyDescent="0.25">
      <c r="D32">
        <f>H33/65</f>
        <v>3.323</v>
      </c>
      <c r="F32" s="37"/>
      <c r="G32" s="9"/>
      <c r="H32" s="38"/>
      <c r="I32" s="38"/>
      <c r="J32" s="38"/>
    </row>
    <row r="33" spans="6:10" x14ac:dyDescent="0.25">
      <c r="F33" s="13" t="s">
        <v>6</v>
      </c>
      <c r="G33" s="24" t="s">
        <v>7</v>
      </c>
      <c r="H33" s="15">
        <f>H6*H7/1000</f>
        <v>215.995</v>
      </c>
      <c r="I33" s="15"/>
      <c r="J33" s="15"/>
    </row>
    <row r="34" spans="6:10" x14ac:dyDescent="0.25">
      <c r="F34" s="13"/>
      <c r="G34" s="24"/>
      <c r="H34" s="16"/>
      <c r="I34" s="16"/>
      <c r="J34" s="16"/>
    </row>
    <row r="35" spans="6:10" x14ac:dyDescent="0.25">
      <c r="F35" s="26"/>
      <c r="G35" s="24"/>
      <c r="H35" s="25"/>
      <c r="I35" s="25"/>
      <c r="J35" s="25"/>
    </row>
    <row r="36" spans="6:10" x14ac:dyDescent="0.25">
      <c r="F36" s="26" t="s">
        <v>12</v>
      </c>
      <c r="G36" s="24" t="s">
        <v>24</v>
      </c>
      <c r="H36" s="25">
        <f>C6*H33*(1-C8/100)^(C6-1)</f>
        <v>4319.0792928661085</v>
      </c>
      <c r="I36" s="25"/>
      <c r="J36" s="25"/>
    </row>
    <row r="37" spans="6:10" x14ac:dyDescent="0.25">
      <c r="G37" s="39"/>
      <c r="H37" s="40"/>
      <c r="I37" s="40"/>
      <c r="J37" s="40"/>
    </row>
  </sheetData>
  <mergeCells count="1">
    <mergeCell ref="F4:J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Kostnad 2016</vt:lpstr>
    </vt:vector>
  </TitlesOfParts>
  <Company>NVE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Olav Karstad Isachsen</dc:creator>
  <cp:lastModifiedBy>Olav Karstad Isachsen</cp:lastModifiedBy>
  <dcterms:created xsi:type="dcterms:W3CDTF">2016-11-15T12:54:30Z</dcterms:created>
  <dcterms:modified xsi:type="dcterms:W3CDTF">2017-06-12T12:58:09Z</dcterms:modified>
</cp:coreProperties>
</file>