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E17" i="2" l="1"/>
  <c r="E16" i="2"/>
  <c r="C9" i="2" l="1"/>
  <c r="C8" i="2"/>
  <c r="C7" i="2"/>
  <c r="C6" i="2"/>
  <c r="C5" i="2"/>
  <c r="M17" i="2" l="1"/>
  <c r="M18" i="2"/>
  <c r="E15" i="2"/>
  <c r="M16" i="2" s="1"/>
  <c r="E14" i="2"/>
  <c r="E13" i="2"/>
  <c r="C15" i="2"/>
  <c r="J16" i="2" s="1"/>
  <c r="D15" i="2"/>
  <c r="K16" i="2" s="1"/>
  <c r="C14" i="2"/>
  <c r="D14" i="2"/>
  <c r="C13" i="2"/>
  <c r="D13" i="2"/>
  <c r="J15" i="2"/>
  <c r="K15" i="2"/>
  <c r="L15" i="2"/>
  <c r="M15" i="2"/>
  <c r="I15" i="2"/>
  <c r="J19" i="2" l="1"/>
  <c r="K19" i="2"/>
  <c r="L18" i="2"/>
  <c r="M19" i="2"/>
  <c r="L17" i="2"/>
  <c r="I9" i="2"/>
  <c r="J9" i="2"/>
  <c r="L9" i="2"/>
  <c r="K9" i="2"/>
  <c r="M9" i="2"/>
  <c r="I16" i="2"/>
  <c r="I19" i="2" s="1"/>
  <c r="L16" i="2"/>
  <c r="L19" i="2" l="1"/>
  <c r="L31" i="2" s="1"/>
  <c r="M11" i="2"/>
  <c r="I11" i="2"/>
  <c r="K14" i="2"/>
  <c r="L11" i="2"/>
  <c r="K11" i="2"/>
  <c r="I14" i="2"/>
  <c r="I29" i="2" s="1"/>
  <c r="M20" i="2"/>
  <c r="M30" i="2" s="1"/>
  <c r="L20" i="2"/>
  <c r="L30" i="2" s="1"/>
  <c r="I20" i="2"/>
  <c r="I30" i="2" s="1"/>
  <c r="M14" i="2"/>
  <c r="M29" i="2" s="1"/>
  <c r="J11" i="2"/>
  <c r="J14" i="2"/>
  <c r="J29" i="2" s="1"/>
  <c r="K20" i="2"/>
  <c r="K30" i="2" s="1"/>
  <c r="L14" i="2"/>
  <c r="L29" i="2" s="1"/>
  <c r="J20" i="2"/>
  <c r="J30" i="2" s="1"/>
  <c r="L32" i="2"/>
  <c r="I31" i="2"/>
  <c r="M31" i="2"/>
  <c r="K32" i="2"/>
  <c r="K29" i="2"/>
  <c r="J32" i="2"/>
  <c r="I32" i="2"/>
  <c r="J31" i="2"/>
  <c r="M32" i="2"/>
  <c r="K31" i="2"/>
  <c r="M12" i="2" l="1"/>
  <c r="I12" i="2"/>
  <c r="L12" i="2"/>
  <c r="L13" i="2" s="1"/>
  <c r="K12" i="2"/>
  <c r="J12" i="2"/>
  <c r="L28" i="2" l="1"/>
  <c r="L21" i="2" s="1"/>
  <c r="M13" i="2"/>
  <c r="M28" i="2" s="1"/>
  <c r="L23" i="2" l="1"/>
  <c r="M21" i="2"/>
  <c r="J13" i="2"/>
  <c r="K13" i="2"/>
  <c r="G31" i="2"/>
  <c r="G28" i="2"/>
  <c r="I13" i="2"/>
  <c r="I28" i="2" s="1"/>
  <c r="I21" i="2" s="1"/>
  <c r="J28" i="2" l="1"/>
  <c r="K28" i="2"/>
  <c r="K21" i="2" s="1"/>
  <c r="M23" i="2"/>
  <c r="I23" i="2"/>
  <c r="K23" i="2" l="1"/>
  <c r="J23" i="2"/>
</calcChain>
</file>

<file path=xl/comments1.xml><?xml version="1.0" encoding="utf-8"?>
<comments xmlns="http://schemas.openxmlformats.org/spreadsheetml/2006/main">
  <authors>
    <author>Maria Sidelnikova</author>
  </authors>
  <commentList>
    <comment ref="G8" authorId="0" shapeId="0">
      <text>
        <r>
          <rPr>
            <b/>
            <sz val="8"/>
            <color indexed="81"/>
            <rFont val="Tahoma"/>
            <family val="2"/>
          </rPr>
          <t>Maria Sidelnikova:</t>
        </r>
        <r>
          <rPr>
            <sz val="8"/>
            <color indexed="81"/>
            <rFont val="Tahoma"/>
            <family val="2"/>
          </rPr>
          <t xml:space="preserve">
Virkningsgrad er ift nedre brennverdi for oljekjel og effektiv brennverdi for biokjeler</t>
        </r>
      </text>
    </comment>
  </commentList>
</comments>
</file>

<file path=xl/sharedStrings.xml><?xml version="1.0" encoding="utf-8"?>
<sst xmlns="http://schemas.openxmlformats.org/spreadsheetml/2006/main" count="84" uniqueCount="58">
  <si>
    <t>Faste driftskostnader</t>
  </si>
  <si>
    <t>%</t>
  </si>
  <si>
    <t>øre/kWh</t>
  </si>
  <si>
    <t>Enhet</t>
  </si>
  <si>
    <t>Ytelse</t>
  </si>
  <si>
    <t>timer/år</t>
  </si>
  <si>
    <t>Investeringskostnader</t>
  </si>
  <si>
    <t xml:space="preserve">   Byggetidsrenter     </t>
  </si>
  <si>
    <t xml:space="preserve">Sum investeringskostnader </t>
  </si>
  <si>
    <t>CO2-avgift</t>
  </si>
  <si>
    <t>Brensels- og utslippskostnader</t>
  </si>
  <si>
    <t>Variable kostnader eks brensel</t>
  </si>
  <si>
    <t>Nåverdier</t>
  </si>
  <si>
    <t>øre</t>
  </si>
  <si>
    <t>Produsert varme</t>
  </si>
  <si>
    <t>kWhv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</si>
  <si>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</si>
  <si>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</si>
  <si>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</si>
  <si>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</si>
  <si>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</si>
  <si>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</si>
  <si>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</si>
  <si>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</si>
  <si>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Brenselskostnad</t>
  </si>
  <si>
    <t>Degraderingsrate</t>
  </si>
  <si>
    <t>prosent/år</t>
  </si>
  <si>
    <t>enhet</t>
  </si>
  <si>
    <t>Diskonteringsrente</t>
  </si>
  <si>
    <t>prosent</t>
  </si>
  <si>
    <t>MW</t>
  </si>
  <si>
    <t>kr/kW</t>
  </si>
  <si>
    <r>
      <t>kr/kW</t>
    </r>
    <r>
      <rPr>
        <sz val="10"/>
        <rFont val="Calibri"/>
        <family val="2"/>
        <scheme val="minor"/>
      </rPr>
      <t xml:space="preserve"> /år</t>
    </r>
  </si>
  <si>
    <t>Mobile kjeler</t>
  </si>
  <si>
    <t>Olje</t>
  </si>
  <si>
    <t>Fullasttimer</t>
  </si>
  <si>
    <t>Anleggskostnader</t>
  </si>
  <si>
    <t>Spesifikt brenselforbruk</t>
  </si>
  <si>
    <t>Tørr flis</t>
  </si>
  <si>
    <t>Pellets</t>
  </si>
  <si>
    <t>faktor</t>
  </si>
  <si>
    <t>Inflasjon 2013-2016</t>
  </si>
  <si>
    <t>kWhbrensel/kWh</t>
  </si>
  <si>
    <t>øre/kWhbrensel</t>
  </si>
  <si>
    <t>Virkningsgrad (nedre-olje, effektiv-bio)</t>
  </si>
  <si>
    <t>Virkningsgrad (øvre brennverdi)</t>
  </si>
  <si>
    <t>Øvre brennverdi</t>
  </si>
  <si>
    <t>Brenselspris</t>
  </si>
  <si>
    <r>
      <t>øre/kWh</t>
    </r>
    <r>
      <rPr>
        <sz val="8"/>
        <rFont val="Calibri"/>
        <family val="2"/>
        <scheme val="minor"/>
      </rPr>
      <t>brensel</t>
    </r>
  </si>
  <si>
    <t>Effektiv, nedre brennverdi</t>
  </si>
  <si>
    <r>
      <t>kWh</t>
    </r>
    <r>
      <rPr>
        <sz val="8"/>
        <rFont val="Calibri"/>
        <family val="2"/>
        <scheme val="minor"/>
      </rPr>
      <t>brensel/</t>
    </r>
    <r>
      <rPr>
        <sz val="11"/>
        <rFont val="Calibri"/>
        <family val="2"/>
        <scheme val="minor"/>
      </rPr>
      <t>kg (liter)</t>
    </r>
  </si>
  <si>
    <t>kWhbrensel/kg (liter)</t>
  </si>
  <si>
    <t>Grunnavgift</t>
  </si>
  <si>
    <t>Norconsult</t>
  </si>
  <si>
    <t>Dette er momentan virkningsgrad, årsvirkningsgrad er 5-15% lavere. Størst for fastbrensel lavere for kjele med bedre regulerbarhet.</t>
  </si>
  <si>
    <t>Justert opp fra Kostnader i energisektoren 2015 vha infasjonsindeks</t>
  </si>
  <si>
    <t>Erfaringstall fra Norconsult basert på to leverandører i Norge</t>
  </si>
  <si>
    <t>Moden teknologi med liten potensial for reduksjon i investeringskostnader. For biokjeler er antatt økning i virkningsgraden med 2 %. Kostnadsutviklingen er sterk avhengig av utvikling i brenselspris, spesielt for oljekjeler. Her antatt faste brenselspriser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</si>
</sst>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#,##0.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14">
    <xf numFmtId="0" fontId="0" fillId="0" borderId="0" xfId="0"/>
    <xf numFmtId="164" fontId="7" fillId="0" borderId="7" xfId="1" applyFont="1" applyFill="1" applyBorder="1"/>
    <xf numFmtId="164" fontId="7" fillId="0" borderId="2" xfId="1" applyFont="1" applyFill="1" applyBorder="1"/>
    <xf numFmtId="164" fontId="4" fillId="0" borderId="2" xfId="1" applyFont="1" applyFill="1" applyBorder="1" applyAlignment="1">
      <alignment horizontal="left" indent="1"/>
    </xf>
    <xf numFmtId="164" fontId="4" fillId="0" borderId="2" xfId="1" applyFont="1" applyFill="1" applyBorder="1"/>
    <xf numFmtId="164" fontId="4" fillId="0" borderId="10" xfId="1" applyFont="1" applyFill="1" applyBorder="1"/>
    <xf numFmtId="164" fontId="4" fillId="0" borderId="11" xfId="1" applyFont="1" applyFill="1" applyBorder="1" applyAlignment="1">
      <alignment horizontal="right"/>
    </xf>
    <xf numFmtId="0" fontId="4" fillId="0" borderId="0" xfId="0" applyFont="1"/>
    <xf numFmtId="164" fontId="9" fillId="0" borderId="0" xfId="1" applyFont="1" applyFill="1" applyBorder="1"/>
    <xf numFmtId="165" fontId="9" fillId="0" borderId="0" xfId="1" applyNumberFormat="1" applyFont="1" applyFill="1" applyBorder="1"/>
    <xf numFmtId="164" fontId="4" fillId="0" borderId="11" xfId="0" applyNumberFormat="1" applyFont="1" applyBorder="1"/>
    <xf numFmtId="0" fontId="4" fillId="0" borderId="9" xfId="0" applyFont="1" applyBorder="1" applyAlignment="1">
      <alignment horizontal="right"/>
    </xf>
    <xf numFmtId="40" fontId="4" fillId="0" borderId="0" xfId="0" applyNumberFormat="1" applyFont="1" applyBorder="1"/>
    <xf numFmtId="0" fontId="4" fillId="0" borderId="0" xfId="0" applyFont="1" applyBorder="1"/>
    <xf numFmtId="0" fontId="5" fillId="2" borderId="14" xfId="0" applyFont="1" applyFill="1" applyBorder="1"/>
    <xf numFmtId="0" fontId="5" fillId="2" borderId="15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2" xfId="1" applyFont="1" applyFill="1" applyBorder="1"/>
    <xf numFmtId="164" fontId="5" fillId="3" borderId="5" xfId="1" applyFont="1" applyFill="1" applyBorder="1" applyAlignment="1">
      <alignment horizontal="right"/>
    </xf>
    <xf numFmtId="0" fontId="0" fillId="0" borderId="0" xfId="0" applyBorder="1"/>
    <xf numFmtId="2" fontId="7" fillId="0" borderId="0" xfId="0" applyNumberFormat="1" applyFont="1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6" fontId="0" fillId="0" borderId="0" xfId="3" applyNumberFormat="1" applyFont="1" applyBorder="1"/>
    <xf numFmtId="164" fontId="5" fillId="3" borderId="0" xfId="1" applyFont="1" applyFill="1" applyBorder="1"/>
    <xf numFmtId="165" fontId="4" fillId="0" borderId="5" xfId="2" applyNumberFormat="1" applyFont="1" applyFill="1" applyBorder="1"/>
    <xf numFmtId="165" fontId="4" fillId="0" borderId="16" xfId="2" applyNumberFormat="1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0" fillId="0" borderId="0" xfId="0" applyNumberFormat="1"/>
    <xf numFmtId="3" fontId="4" fillId="0" borderId="5" xfId="1" applyNumberFormat="1" applyFont="1" applyFill="1" applyBorder="1"/>
    <xf numFmtId="0" fontId="1" fillId="2" borderId="14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3" fillId="0" borderId="0" xfId="0" applyFont="1"/>
    <xf numFmtId="2" fontId="13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17" xfId="0" applyFont="1" applyFill="1" applyBorder="1"/>
    <xf numFmtId="2" fontId="13" fillId="0" borderId="0" xfId="0" applyNumberFormat="1" applyFont="1" applyAlignment="1">
      <alignment horizontal="center"/>
    </xf>
    <xf numFmtId="165" fontId="0" fillId="0" borderId="0" xfId="0" applyNumberFormat="1"/>
    <xf numFmtId="4" fontId="0" fillId="0" borderId="0" xfId="0" applyNumberFormat="1"/>
    <xf numFmtId="164" fontId="7" fillId="0" borderId="0" xfId="1" applyFont="1" applyFill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1" fontId="1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4" fillId="0" borderId="5" xfId="1" applyNumberFormat="1" applyFont="1" applyFill="1" applyBorder="1"/>
    <xf numFmtId="164" fontId="5" fillId="3" borderId="12" xfId="1" applyFont="1" applyFill="1" applyBorder="1" applyAlignment="1">
      <alignment horizontal="right"/>
    </xf>
    <xf numFmtId="164" fontId="5" fillId="3" borderId="11" xfId="1" applyFont="1" applyFill="1" applyBorder="1" applyAlignment="1">
      <alignment horizontal="right"/>
    </xf>
    <xf numFmtId="164" fontId="4" fillId="0" borderId="18" xfId="1" applyFont="1" applyFill="1" applyBorder="1" applyAlignment="1">
      <alignment horizontal="right"/>
    </xf>
    <xf numFmtId="164" fontId="4" fillId="0" borderId="13" xfId="1" applyFont="1" applyFill="1" applyBorder="1" applyAlignment="1">
      <alignment horizontal="right"/>
    </xf>
    <xf numFmtId="164" fontId="7" fillId="0" borderId="11" xfId="1" applyFont="1" applyFill="1" applyBorder="1" applyAlignment="1">
      <alignment horizontal="right"/>
    </xf>
    <xf numFmtId="0" fontId="1" fillId="3" borderId="19" xfId="0" applyFont="1" applyFill="1" applyBorder="1" applyAlignment="1">
      <alignment horizontal="center"/>
    </xf>
    <xf numFmtId="164" fontId="5" fillId="3" borderId="10" xfId="1" applyFont="1" applyFill="1" applyBorder="1" applyAlignment="1">
      <alignment horizontal="right"/>
    </xf>
    <xf numFmtId="3" fontId="4" fillId="0" borderId="20" xfId="1" applyNumberFormat="1" applyFont="1" applyFill="1" applyBorder="1"/>
    <xf numFmtId="3" fontId="4" fillId="0" borderId="8" xfId="1" applyNumberFormat="1" applyFont="1" applyFill="1" applyBorder="1"/>
    <xf numFmtId="3" fontId="4" fillId="0" borderId="10" xfId="1" applyNumberFormat="1" applyFont="1" applyFill="1" applyBorder="1"/>
    <xf numFmtId="3" fontId="4" fillId="0" borderId="21" xfId="1" applyNumberFormat="1" applyFont="1" applyFill="1" applyBorder="1"/>
    <xf numFmtId="3" fontId="4" fillId="0" borderId="16" xfId="1" applyNumberFormat="1" applyFont="1" applyFill="1" applyBorder="1"/>
    <xf numFmtId="165" fontId="4" fillId="0" borderId="10" xfId="2" applyNumberFormat="1" applyFont="1" applyFill="1" applyBorder="1"/>
    <xf numFmtId="165" fontId="4" fillId="0" borderId="10" xfId="1" applyNumberFormat="1" applyFont="1" applyFill="1" applyBorder="1"/>
    <xf numFmtId="165" fontId="4" fillId="0" borderId="5" xfId="1" applyNumberFormat="1" applyFont="1" applyFill="1" applyBorder="1"/>
    <xf numFmtId="165" fontId="4" fillId="0" borderId="21" xfId="2" applyNumberFormat="1" applyFont="1" applyFill="1" applyBorder="1"/>
    <xf numFmtId="0" fontId="6" fillId="3" borderId="1" xfId="0" applyFont="1" applyFill="1" applyBorder="1" applyAlignment="1"/>
    <xf numFmtId="164" fontId="5" fillId="3" borderId="2" xfId="1" applyFont="1" applyFill="1" applyBorder="1" applyAlignment="1">
      <alignment horizontal="right"/>
    </xf>
    <xf numFmtId="3" fontId="4" fillId="0" borderId="7" xfId="1" applyNumberFormat="1" applyFont="1" applyFill="1" applyBorder="1"/>
    <xf numFmtId="3" fontId="4" fillId="0" borderId="2" xfId="1" applyNumberFormat="1" applyFont="1" applyFill="1" applyBorder="1"/>
    <xf numFmtId="3" fontId="4" fillId="0" borderId="22" xfId="1" applyNumberFormat="1" applyFont="1" applyFill="1" applyBorder="1"/>
    <xf numFmtId="165" fontId="4" fillId="0" borderId="2" xfId="2" applyNumberFormat="1" applyFont="1" applyFill="1" applyBorder="1"/>
    <xf numFmtId="165" fontId="4" fillId="0" borderId="2" xfId="1" applyNumberFormat="1" applyFont="1" applyFill="1" applyBorder="1"/>
    <xf numFmtId="165" fontId="4" fillId="0" borderId="22" xfId="2" applyNumberFormat="1" applyFont="1" applyFill="1" applyBorder="1"/>
    <xf numFmtId="167" fontId="4" fillId="0" borderId="10" xfId="1" applyNumberFormat="1" applyFont="1" applyFill="1" applyBorder="1"/>
    <xf numFmtId="0" fontId="1" fillId="3" borderId="19" xfId="0" applyFont="1" applyFill="1" applyBorder="1" applyAlignment="1"/>
    <xf numFmtId="0" fontId="1" fillId="3" borderId="6" xfId="0" applyFont="1" applyFill="1" applyBorder="1" applyAlignment="1"/>
    <xf numFmtId="164" fontId="4" fillId="0" borderId="0" xfId="1" applyFont="1" applyFill="1" applyBorder="1" applyAlignment="1">
      <alignment horizontal="right"/>
    </xf>
    <xf numFmtId="40" fontId="0" fillId="0" borderId="0" xfId="0" applyNumberFormat="1" applyBorder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38" fontId="4" fillId="0" borderId="0" xfId="0" applyNumberFormat="1" applyFont="1" applyBorder="1"/>
    <xf numFmtId="38" fontId="9" fillId="0" borderId="0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0" borderId="10" xfId="1" applyNumberFormat="1" applyFont="1" applyFill="1" applyBorder="1"/>
    <xf numFmtId="4" fontId="4" fillId="0" borderId="5" xfId="1" applyNumberFormat="1" applyFont="1" applyFill="1" applyBorder="1"/>
    <xf numFmtId="164" fontId="7" fillId="0" borderId="10" xfId="1" applyFont="1" applyFill="1" applyBorder="1"/>
    <xf numFmtId="164" fontId="7" fillId="0" borderId="5" xfId="1" applyFont="1" applyFill="1" applyBorder="1"/>
    <xf numFmtId="164" fontId="4" fillId="0" borderId="5" xfId="1" applyFont="1" applyFill="1" applyBorder="1"/>
    <xf numFmtId="164" fontId="7" fillId="0" borderId="22" xfId="1" applyFont="1" applyFill="1" applyBorder="1"/>
    <xf numFmtId="3" fontId="4" fillId="0" borderId="21" xfId="2" applyNumberFormat="1" applyFont="1" applyFill="1" applyBorder="1"/>
    <xf numFmtId="3" fontId="4" fillId="0" borderId="16" xfId="2" applyNumberFormat="1" applyFont="1" applyFill="1" applyBorder="1"/>
    <xf numFmtId="3" fontId="4" fillId="0" borderId="22" xfId="2" applyNumberFormat="1" applyFont="1" applyFill="1" applyBorder="1"/>
    <xf numFmtId="9" fontId="4" fillId="0" borderId="20" xfId="1" applyNumberFormat="1" applyFont="1" applyFill="1" applyBorder="1"/>
    <xf numFmtId="9" fontId="4" fillId="0" borderId="8" xfId="1" applyNumberFormat="1" applyFont="1" applyFill="1" applyBorder="1"/>
    <xf numFmtId="9" fontId="4" fillId="0" borderId="7" xfId="1" applyNumberFormat="1" applyFont="1" applyFill="1" applyBorder="1"/>
    <xf numFmtId="164" fontId="7" fillId="0" borderId="24" xfId="1" applyFont="1" applyFill="1" applyBorder="1"/>
    <xf numFmtId="164" fontId="4" fillId="0" borderId="12" xfId="1" applyFont="1" applyFill="1" applyBorder="1" applyAlignment="1">
      <alignment horizontal="right"/>
    </xf>
    <xf numFmtId="164" fontId="7" fillId="0" borderId="25" xfId="1" applyFont="1" applyFill="1" applyBorder="1"/>
    <xf numFmtId="164" fontId="7" fillId="0" borderId="26" xfId="1" applyFont="1" applyFill="1" applyBorder="1" applyAlignment="1">
      <alignment horizontal="right"/>
    </xf>
    <xf numFmtId="165" fontId="7" fillId="0" borderId="27" xfId="0" applyNumberFormat="1" applyFont="1" applyFill="1" applyBorder="1"/>
    <xf numFmtId="165" fontId="7" fillId="0" borderId="23" xfId="0" applyNumberFormat="1" applyFont="1" applyFill="1" applyBorder="1"/>
    <xf numFmtId="4" fontId="4" fillId="0" borderId="2" xfId="1" applyNumberFormat="1" applyFont="1" applyFill="1" applyBorder="1"/>
    <xf numFmtId="165" fontId="7" fillId="0" borderId="28" xfId="0" applyNumberFormat="1" applyFont="1" applyFill="1" applyBorder="1"/>
    <xf numFmtId="165" fontId="7" fillId="0" borderId="29" xfId="0" applyNumberFormat="1" applyFont="1" applyFill="1" applyBorder="1"/>
    <xf numFmtId="165" fontId="7" fillId="0" borderId="30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4">
    <cellStyle name="Normal" xfId="0" builtinId="0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5">
          <cell r="D5">
            <v>10.584</v>
          </cell>
          <cell r="E5">
            <v>9.9960000000000004</v>
          </cell>
        </row>
        <row r="11">
          <cell r="D11">
            <v>4.5599999999999996</v>
          </cell>
          <cell r="F11">
            <v>4.0999999999999996</v>
          </cell>
        </row>
        <row r="13">
          <cell r="D13">
            <v>5.13</v>
          </cell>
          <cell r="F13">
            <v>4.7</v>
          </cell>
        </row>
        <row r="32">
          <cell r="D32">
            <v>29.1</v>
          </cell>
        </row>
        <row r="36">
          <cell r="D36">
            <v>20</v>
          </cell>
        </row>
        <row r="57">
          <cell r="D57">
            <v>40.986394557823125</v>
          </cell>
        </row>
      </sheetData>
      <sheetData sheetId="1">
        <row r="4">
          <cell r="F4">
            <v>16.03641456582633</v>
          </cell>
          <cell r="H4">
            <v>12.004801920768307</v>
          </cell>
        </row>
      </sheetData>
      <sheetData sheetId="2"/>
      <sheetData sheetId="3">
        <row r="1">
          <cell r="C1">
            <v>1.07973174366617</v>
          </cell>
        </row>
        <row r="15">
          <cell r="C15">
            <v>1</v>
          </cell>
        </row>
        <row r="40">
          <cell r="C40">
            <v>20</v>
          </cell>
          <cell r="D40">
            <v>0.06</v>
          </cell>
          <cell r="E40">
            <v>1E-3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37"/>
  <sheetViews>
    <sheetView tabSelected="1" workbookViewId="0">
      <selection activeCell="M21" sqref="M21"/>
    </sheetView>
  </sheetViews>
  <sheetFormatPr baseColWidth="10" defaultRowHeight="15" x14ac:dyDescent="0.25"/>
  <cols>
    <col min="1" max="1" width="16.85546875" customWidth="1"/>
    <col min="7" max="7" width="43.5703125" customWidth="1"/>
    <col min="8" max="8" width="17" customWidth="1"/>
    <col min="9" max="9" width="13.42578125" customWidth="1"/>
    <col min="10" max="11" width="12.28515625" bestFit="1" customWidth="1"/>
    <col min="12" max="12" width="14.7109375" customWidth="1"/>
    <col min="13" max="13" width="13.7109375" customWidth="1"/>
    <col min="14" max="14" width="16.7109375" customWidth="1"/>
    <col min="15" max="15" width="28.140625" customWidth="1"/>
  </cols>
  <sheetData>
    <row r="3" spans="1:15" ht="15.75" thickBot="1" x14ac:dyDescent="0.3"/>
    <row r="4" spans="1:15" ht="15.75" thickBot="1" x14ac:dyDescent="0.3">
      <c r="A4" s="14"/>
      <c r="B4" s="14" t="s">
        <v>27</v>
      </c>
      <c r="C4" s="15"/>
      <c r="D4" s="24"/>
      <c r="G4" s="30" t="s">
        <v>33</v>
      </c>
      <c r="H4" s="31"/>
      <c r="I4" s="58"/>
      <c r="J4" s="58"/>
      <c r="K4" s="78"/>
      <c r="L4" s="78"/>
      <c r="M4" s="79"/>
      <c r="N4" s="18"/>
      <c r="O4" s="18"/>
    </row>
    <row r="5" spans="1:15" x14ac:dyDescent="0.25">
      <c r="A5" s="14" t="s">
        <v>22</v>
      </c>
      <c r="B5" t="s">
        <v>21</v>
      </c>
      <c r="C5">
        <f>'[1]byggetid levetid rente'!$C$15</f>
        <v>1</v>
      </c>
      <c r="E5" s="17"/>
      <c r="F5" s="17"/>
      <c r="G5" s="19"/>
      <c r="H5" s="53" t="s">
        <v>3</v>
      </c>
      <c r="I5" s="110" t="s">
        <v>39</v>
      </c>
      <c r="J5" s="111"/>
      <c r="K5" s="69" t="s">
        <v>38</v>
      </c>
      <c r="L5" s="110" t="s">
        <v>34</v>
      </c>
      <c r="M5" s="111"/>
      <c r="N5" s="18"/>
      <c r="O5" s="18"/>
    </row>
    <row r="6" spans="1:15" x14ac:dyDescent="0.25">
      <c r="A6" s="14" t="s">
        <v>23</v>
      </c>
      <c r="B6" t="s">
        <v>21</v>
      </c>
      <c r="C6" s="21">
        <f>'[1]byggetid levetid rente'!$C$40</f>
        <v>20</v>
      </c>
      <c r="E6" s="17"/>
      <c r="F6" s="17"/>
      <c r="G6" s="19" t="s">
        <v>4</v>
      </c>
      <c r="H6" s="54" t="s">
        <v>30</v>
      </c>
      <c r="I6" s="59">
        <v>0.5</v>
      </c>
      <c r="J6" s="20">
        <v>2</v>
      </c>
      <c r="K6" s="70">
        <v>0.5</v>
      </c>
      <c r="L6" s="59">
        <v>0.5</v>
      </c>
      <c r="M6" s="20">
        <v>2</v>
      </c>
      <c r="N6" s="27" t="s">
        <v>17</v>
      </c>
      <c r="O6" s="27" t="s">
        <v>16</v>
      </c>
    </row>
    <row r="7" spans="1:15" x14ac:dyDescent="0.25">
      <c r="A7" s="14" t="s">
        <v>28</v>
      </c>
      <c r="B7" t="s">
        <v>26</v>
      </c>
      <c r="C7" s="25">
        <f>'[1]byggetid levetid rente'!$D$40</f>
        <v>0.06</v>
      </c>
      <c r="E7" s="17"/>
      <c r="F7" s="17"/>
      <c r="G7" s="1" t="s">
        <v>35</v>
      </c>
      <c r="H7" s="55" t="s">
        <v>5</v>
      </c>
      <c r="I7" s="60">
        <v>4000</v>
      </c>
      <c r="J7" s="61">
        <v>4000</v>
      </c>
      <c r="K7" s="71">
        <v>4000</v>
      </c>
      <c r="L7" s="60">
        <v>4000</v>
      </c>
      <c r="M7" s="61">
        <v>4000</v>
      </c>
      <c r="N7" t="s">
        <v>53</v>
      </c>
    </row>
    <row r="8" spans="1:15" ht="79.5" customHeight="1" x14ac:dyDescent="0.25">
      <c r="A8" s="14" t="s">
        <v>25</v>
      </c>
      <c r="B8" s="7" t="s">
        <v>29</v>
      </c>
      <c r="C8" s="26">
        <f>'[1]byggetid levetid rente'!$E$40</f>
        <v>1E-3</v>
      </c>
      <c r="E8" s="17"/>
      <c r="F8" s="17"/>
      <c r="G8" s="1" t="s">
        <v>44</v>
      </c>
      <c r="H8" s="55" t="s">
        <v>1</v>
      </c>
      <c r="I8" s="97">
        <v>0.89</v>
      </c>
      <c r="J8" s="98">
        <v>0.89</v>
      </c>
      <c r="K8" s="99">
        <v>0.87</v>
      </c>
      <c r="L8" s="97">
        <v>0.9</v>
      </c>
      <c r="M8" s="98">
        <v>0.9</v>
      </c>
      <c r="N8" s="86" t="s">
        <v>53</v>
      </c>
      <c r="O8" s="87" t="s">
        <v>54</v>
      </c>
    </row>
    <row r="9" spans="1:15" x14ac:dyDescent="0.25">
      <c r="A9" s="14" t="s">
        <v>41</v>
      </c>
      <c r="B9" s="7" t="s">
        <v>40</v>
      </c>
      <c r="C9" s="32">
        <f>'[1]byggetid levetid rente'!$C$1</f>
        <v>1.07973174366617</v>
      </c>
      <c r="E9" s="17"/>
      <c r="F9" s="17"/>
      <c r="G9" s="1" t="s">
        <v>45</v>
      </c>
      <c r="H9" s="55" t="s">
        <v>1</v>
      </c>
      <c r="I9" s="97">
        <f>I8/$C$14*$C$13</f>
        <v>0.81539961013645235</v>
      </c>
      <c r="J9" s="98">
        <f>J8/$C$14*$C$13</f>
        <v>0.81539961013645235</v>
      </c>
      <c r="K9" s="99">
        <f>K8/$D$14*$D$13</f>
        <v>0.78223684210526312</v>
      </c>
      <c r="L9" s="97">
        <f>L8/$E$14*$E$13</f>
        <v>0.8500000000000002</v>
      </c>
      <c r="M9" s="98">
        <f>M8/$E$14*$E$13</f>
        <v>0.8500000000000002</v>
      </c>
    </row>
    <row r="10" spans="1:15" x14ac:dyDescent="0.25">
      <c r="E10" s="7"/>
      <c r="F10" s="7"/>
      <c r="G10" s="2" t="s">
        <v>6</v>
      </c>
      <c r="H10" s="57"/>
      <c r="I10" s="90"/>
      <c r="J10" s="91"/>
      <c r="K10" s="4"/>
      <c r="L10" s="5"/>
      <c r="M10" s="92"/>
    </row>
    <row r="11" spans="1:15" x14ac:dyDescent="0.25">
      <c r="D11" s="7"/>
      <c r="E11" s="7"/>
      <c r="F11" s="7"/>
      <c r="G11" s="3" t="s">
        <v>36</v>
      </c>
      <c r="H11" s="6" t="s">
        <v>31</v>
      </c>
      <c r="I11" s="62">
        <f>5000*C9</f>
        <v>5398.6587183308502</v>
      </c>
      <c r="J11" s="33">
        <f>4000*C9</f>
        <v>4318.9269746646796</v>
      </c>
      <c r="K11" s="72">
        <f>10500*C9</f>
        <v>11337.183308494785</v>
      </c>
      <c r="L11" s="62">
        <f>2100*C9</f>
        <v>2267.4366616989569</v>
      </c>
      <c r="M11" s="33">
        <f>675*C9</f>
        <v>728.81892697466469</v>
      </c>
      <c r="N11" t="s">
        <v>56</v>
      </c>
      <c r="O11" t="s">
        <v>55</v>
      </c>
    </row>
    <row r="12" spans="1:15" x14ac:dyDescent="0.25">
      <c r="A12" s="34"/>
      <c r="B12" s="34"/>
      <c r="C12" s="36" t="s">
        <v>39</v>
      </c>
      <c r="D12" s="35" t="s">
        <v>38</v>
      </c>
      <c r="E12" s="35" t="s">
        <v>34</v>
      </c>
      <c r="F12" s="7"/>
      <c r="G12" s="4" t="s">
        <v>7</v>
      </c>
      <c r="H12" s="6" t="s">
        <v>31</v>
      </c>
      <c r="I12" s="62">
        <f>SUM(I11:I11)*(((1+(C7))*((1+C7)^(C5)-1))/(C7*C5))-SUM(I11:I11)</f>
        <v>323.91952309985572</v>
      </c>
      <c r="J12" s="33">
        <f>SUM(J11:J11)*(((1+(C7))*((1+C7)^(C5)-1))/(C7*C5))-SUM(J11:J11)</f>
        <v>259.13561847988512</v>
      </c>
      <c r="K12" s="72">
        <f>SUM(K11:K11)*(((1+(C7))*((1+C7)^(C5)-1))/(C7*C5))-SUM(K11:K11)</f>
        <v>680.23099850969811</v>
      </c>
      <c r="L12" s="62">
        <f>SUM(L11:L11)*(((1+(C7))*((1+C7)^(C5)-1))/(C7*C5))-SUM(L11:L11)</f>
        <v>136.04619970193971</v>
      </c>
      <c r="M12" s="33">
        <f>SUM(M11:M11)*(((1+(C7))*((1+C7)^(C5)-1))/(C7*C5))-SUM(M11:M11)</f>
        <v>43.729135618480541</v>
      </c>
    </row>
    <row r="13" spans="1:15" x14ac:dyDescent="0.25">
      <c r="A13" s="34" t="s">
        <v>49</v>
      </c>
      <c r="B13" s="37" t="s">
        <v>50</v>
      </c>
      <c r="C13" s="39">
        <f>'[1]Brennverdier og priser'!$F$13</f>
        <v>4.7</v>
      </c>
      <c r="D13" s="39">
        <f>'[1]Brennverdier og priser'!$F$11</f>
        <v>4.0999999999999996</v>
      </c>
      <c r="E13" s="48">
        <f>'[1]Brennverdier og priser'!$E$5</f>
        <v>9.9960000000000004</v>
      </c>
      <c r="F13" s="7"/>
      <c r="G13" s="93" t="s">
        <v>8</v>
      </c>
      <c r="H13" s="56" t="s">
        <v>31</v>
      </c>
      <c r="I13" s="94">
        <f>SUM(I11:I12)</f>
        <v>5722.5782414307059</v>
      </c>
      <c r="J13" s="95">
        <f>SUM(J11:J12)</f>
        <v>4578.0625931445647</v>
      </c>
      <c r="K13" s="96">
        <f>SUM(K11:K12)</f>
        <v>12017.414307004483</v>
      </c>
      <c r="L13" s="94">
        <f>SUM(L11:L12)</f>
        <v>2403.4828614008966</v>
      </c>
      <c r="M13" s="95">
        <f>SUM(M11:M12)</f>
        <v>772.54806259314523</v>
      </c>
    </row>
    <row r="14" spans="1:15" x14ac:dyDescent="0.25">
      <c r="A14" s="40" t="s">
        <v>46</v>
      </c>
      <c r="B14" s="37" t="s">
        <v>51</v>
      </c>
      <c r="C14" s="41">
        <f>'[1]Brennverdier og priser'!$D$13</f>
        <v>5.13</v>
      </c>
      <c r="D14" s="41">
        <f>'[1]Brennverdier og priser'!$D$11</f>
        <v>4.5599999999999996</v>
      </c>
      <c r="E14" s="48">
        <f>'[1]Brennverdier og priser'!$D$5</f>
        <v>10.584</v>
      </c>
      <c r="F14" s="7"/>
      <c r="G14" s="1" t="s">
        <v>0</v>
      </c>
      <c r="H14" s="55" t="s">
        <v>32</v>
      </c>
      <c r="I14" s="63">
        <f>80*C9</f>
        <v>86.378539493293601</v>
      </c>
      <c r="J14" s="64">
        <f>30*C9</f>
        <v>32.391952309985101</v>
      </c>
      <c r="K14" s="73">
        <f>120*C9</f>
        <v>129.5678092399404</v>
      </c>
      <c r="L14" s="63">
        <f>70*C9</f>
        <v>75.581222056631901</v>
      </c>
      <c r="M14" s="64">
        <f>18*C9</f>
        <v>19.435171385991058</v>
      </c>
      <c r="N14" t="s">
        <v>56</v>
      </c>
      <c r="O14" t="s">
        <v>55</v>
      </c>
    </row>
    <row r="15" spans="1:15" x14ac:dyDescent="0.25">
      <c r="A15" s="34" t="s">
        <v>47</v>
      </c>
      <c r="B15" s="37" t="s">
        <v>48</v>
      </c>
      <c r="C15" s="38">
        <f>'[1]Brennverdier og priser'!$D$32</f>
        <v>29.1</v>
      </c>
      <c r="D15" s="38">
        <f>'[1]Brennverdier og priser'!$D$36</f>
        <v>20</v>
      </c>
      <c r="E15" s="49">
        <f>'[1]Brennverdier og priser'!$D$57</f>
        <v>40.986394557823125</v>
      </c>
      <c r="F15" s="16"/>
      <c r="G15" s="4" t="s">
        <v>37</v>
      </c>
      <c r="H15" s="6" t="s">
        <v>42</v>
      </c>
      <c r="I15" s="65">
        <f>1/I8</f>
        <v>1.1235955056179776</v>
      </c>
      <c r="J15" s="28">
        <f t="shared" ref="J15:M15" si="0">1/J8</f>
        <v>1.1235955056179776</v>
      </c>
      <c r="K15" s="74">
        <f t="shared" si="0"/>
        <v>1.1494252873563218</v>
      </c>
      <c r="L15" s="65">
        <f t="shared" si="0"/>
        <v>1.1111111111111112</v>
      </c>
      <c r="M15" s="28">
        <f t="shared" si="0"/>
        <v>1.1111111111111112</v>
      </c>
    </row>
    <row r="16" spans="1:15" x14ac:dyDescent="0.25">
      <c r="A16" s="14" t="s">
        <v>9</v>
      </c>
      <c r="B16" s="37" t="s">
        <v>48</v>
      </c>
      <c r="C16" s="47">
        <v>0</v>
      </c>
      <c r="D16" s="47">
        <v>0</v>
      </c>
      <c r="E16" s="50">
        <f>'[1]CO2-avgift, grunnavgift'!$H$4</f>
        <v>12.004801920768307</v>
      </c>
      <c r="F16" s="16"/>
      <c r="G16" s="4" t="s">
        <v>24</v>
      </c>
      <c r="H16" s="6" t="s">
        <v>43</v>
      </c>
      <c r="I16" s="66">
        <f>$C$15</f>
        <v>29.1</v>
      </c>
      <c r="J16" s="67">
        <f>$C$15</f>
        <v>29.1</v>
      </c>
      <c r="K16" s="75">
        <f>D15</f>
        <v>20</v>
      </c>
      <c r="L16" s="66">
        <f>$E$15</f>
        <v>40.986394557823125</v>
      </c>
      <c r="M16" s="67">
        <f>$E$15</f>
        <v>40.986394557823125</v>
      </c>
    </row>
    <row r="17" spans="1:15" x14ac:dyDescent="0.25">
      <c r="A17" s="40" t="s">
        <v>52</v>
      </c>
      <c r="B17" s="37" t="s">
        <v>48</v>
      </c>
      <c r="C17" s="51">
        <v>0</v>
      </c>
      <c r="D17" s="51">
        <v>0</v>
      </c>
      <c r="E17" s="50">
        <f>'[1]CO2-avgift, grunnavgift'!$F$4</f>
        <v>16.03641456582633</v>
      </c>
      <c r="G17" s="4" t="s">
        <v>52</v>
      </c>
      <c r="H17" s="6" t="s">
        <v>43</v>
      </c>
      <c r="I17" s="66"/>
      <c r="J17" s="67"/>
      <c r="K17" s="75"/>
      <c r="L17" s="66">
        <f>$E$17</f>
        <v>16.03641456582633</v>
      </c>
      <c r="M17" s="67">
        <f>$E$17</f>
        <v>16.03641456582633</v>
      </c>
    </row>
    <row r="18" spans="1:15" x14ac:dyDescent="0.25">
      <c r="A18" s="24"/>
      <c r="B18" s="7"/>
      <c r="C18" s="22"/>
      <c r="G18" s="5" t="s">
        <v>9</v>
      </c>
      <c r="H18" s="6" t="s">
        <v>43</v>
      </c>
      <c r="I18" s="62"/>
      <c r="J18" s="33"/>
      <c r="K18" s="72"/>
      <c r="L18" s="77">
        <f>$E$16</f>
        <v>12.004801920768307</v>
      </c>
      <c r="M18" s="52">
        <f>$E$16</f>
        <v>12.004801920768307</v>
      </c>
    </row>
    <row r="19" spans="1:15" x14ac:dyDescent="0.25">
      <c r="A19" s="24"/>
      <c r="B19" s="7"/>
      <c r="C19" s="32"/>
      <c r="G19" s="2" t="s">
        <v>10</v>
      </c>
      <c r="H19" s="56" t="s">
        <v>2</v>
      </c>
      <c r="I19" s="68">
        <f>SUM(I16:I18)*I15</f>
        <v>32.696629213483149</v>
      </c>
      <c r="J19" s="29">
        <f>SUM(J16:J18)*J15</f>
        <v>32.696629213483149</v>
      </c>
      <c r="K19" s="76">
        <f>SUM(K16:K18)*K15</f>
        <v>22.988505747126435</v>
      </c>
      <c r="L19" s="68">
        <f>SUM(L16:L18)*L15</f>
        <v>76.69734560490862</v>
      </c>
      <c r="M19" s="29">
        <f>SUM(M16:M18)*M15</f>
        <v>76.69734560490862</v>
      </c>
    </row>
    <row r="20" spans="1:15" ht="15.75" thickBot="1" x14ac:dyDescent="0.3">
      <c r="A20" s="24"/>
      <c r="B20" s="7"/>
      <c r="C20" s="32"/>
      <c r="G20" s="100" t="s">
        <v>11</v>
      </c>
      <c r="H20" s="101" t="s">
        <v>2</v>
      </c>
      <c r="I20" s="62">
        <f>7*C9</f>
        <v>7.5581222056631896</v>
      </c>
      <c r="J20" s="33">
        <f>6*C9</f>
        <v>6.4783904619970194</v>
      </c>
      <c r="K20" s="72">
        <f>10*C9</f>
        <v>10.7973174366617</v>
      </c>
      <c r="L20" s="62">
        <f>8*C9</f>
        <v>8.6378539493293598</v>
      </c>
      <c r="M20" s="33">
        <f>5*C9</f>
        <v>5.3986587183308501</v>
      </c>
      <c r="N20" t="s">
        <v>56</v>
      </c>
      <c r="O20" t="s">
        <v>55</v>
      </c>
    </row>
    <row r="21" spans="1:15" ht="15.75" thickBot="1" x14ac:dyDescent="0.3">
      <c r="A21" s="24"/>
      <c r="B21" s="7"/>
      <c r="C21" s="23"/>
      <c r="G21" s="102" t="s">
        <v>19</v>
      </c>
      <c r="H21" s="103" t="s">
        <v>2</v>
      </c>
      <c r="I21" s="104">
        <f>SUM(I28:I31)/I32</f>
        <v>57.156858570049643</v>
      </c>
      <c r="J21" s="104">
        <f>SUM(J28:J31)/J32</f>
        <v>51.713812934703505</v>
      </c>
      <c r="K21" s="104">
        <f t="shared" ref="J21:M21" si="1">SUM(K28:K31)/K32</f>
        <v>68.166249338699558</v>
      </c>
      <c r="L21" s="104">
        <f t="shared" si="1"/>
        <v>94.013892305738736</v>
      </c>
      <c r="M21" s="105">
        <f t="shared" si="1"/>
        <v>85.194142583507698</v>
      </c>
    </row>
    <row r="22" spans="1:15" ht="90" customHeight="1" thickBot="1" x14ac:dyDescent="0.3">
      <c r="A22" s="24"/>
      <c r="B22" s="7"/>
      <c r="G22" s="2" t="s">
        <v>18</v>
      </c>
      <c r="H22" s="57"/>
      <c r="I22" s="88">
        <v>0.98</v>
      </c>
      <c r="J22" s="89">
        <v>0.98</v>
      </c>
      <c r="K22" s="106">
        <v>0.98</v>
      </c>
      <c r="L22" s="62">
        <v>1</v>
      </c>
      <c r="M22" s="33">
        <v>1</v>
      </c>
      <c r="N22" s="112" t="s">
        <v>57</v>
      </c>
      <c r="O22" s="113"/>
    </row>
    <row r="23" spans="1:15" ht="15.75" thickBot="1" x14ac:dyDescent="0.3">
      <c r="A23" s="24"/>
      <c r="B23" s="7"/>
      <c r="C23" s="7"/>
      <c r="G23" s="102" t="s">
        <v>20</v>
      </c>
      <c r="H23" s="103" t="s">
        <v>2</v>
      </c>
      <c r="I23" s="104">
        <f>I21*I22</f>
        <v>56.013721398648649</v>
      </c>
      <c r="J23" s="107">
        <f t="shared" ref="J23:M23" si="2">J21*J22</f>
        <v>50.679536676009434</v>
      </c>
      <c r="K23" s="108">
        <f t="shared" si="2"/>
        <v>66.802924351925569</v>
      </c>
      <c r="L23" s="104">
        <f t="shared" si="2"/>
        <v>94.013892305738736</v>
      </c>
      <c r="M23" s="109">
        <f t="shared" si="2"/>
        <v>85.194142583507698</v>
      </c>
    </row>
    <row r="26" spans="1:15" x14ac:dyDescent="0.25">
      <c r="F26" s="32"/>
    </row>
    <row r="27" spans="1:15" x14ac:dyDescent="0.25">
      <c r="F27" s="32"/>
      <c r="G27" s="44" t="s">
        <v>12</v>
      </c>
      <c r="H27" s="45"/>
      <c r="I27" s="46"/>
      <c r="J27" s="46"/>
      <c r="K27" s="46"/>
      <c r="L27" s="46"/>
      <c r="M27" s="46"/>
    </row>
    <row r="28" spans="1:15" x14ac:dyDescent="0.25">
      <c r="F28" s="42"/>
      <c r="G28" s="10" t="str">
        <f>G10</f>
        <v>Investeringskostnader</v>
      </c>
      <c r="H28" s="11" t="s">
        <v>13</v>
      </c>
      <c r="I28" s="84">
        <f>I13*100*1000*I6</f>
        <v>286128912.07153529</v>
      </c>
      <c r="J28" s="84">
        <f t="shared" ref="J28:M28" si="3">J13*100*1000*J6</f>
        <v>915612518.62891293</v>
      </c>
      <c r="K28" s="84">
        <f t="shared" si="3"/>
        <v>600870715.35022414</v>
      </c>
      <c r="L28" s="84">
        <f t="shared" si="3"/>
        <v>120174143.07004483</v>
      </c>
      <c r="M28" s="84">
        <f t="shared" si="3"/>
        <v>154509612.51862907</v>
      </c>
    </row>
    <row r="29" spans="1:15" x14ac:dyDescent="0.25">
      <c r="F29" s="43"/>
      <c r="G29" s="10" t="s">
        <v>0</v>
      </c>
      <c r="H29" s="11" t="s">
        <v>13</v>
      </c>
      <c r="I29" s="84">
        <f>-PV($C$7,$C$6,I14*100*1000*I6)</f>
        <v>49537752.148140296</v>
      </c>
      <c r="J29" s="84">
        <f>-PV($C$7,$C$6,J14*100*1000*J6)</f>
        <v>74306628.222210437</v>
      </c>
      <c r="K29" s="84">
        <f>-PV($C$7,$C$6,K14*100*1000*K6)</f>
        <v>74306628.222210437</v>
      </c>
      <c r="L29" s="84">
        <f>-PV($C$7,$C$6,L14*100*1000*L6)</f>
        <v>43345533.129622757</v>
      </c>
      <c r="M29" s="84">
        <f>-PV($C$7,$C$6,M14*100*1000*M6)</f>
        <v>44583976.933326259</v>
      </c>
    </row>
    <row r="30" spans="1:15" x14ac:dyDescent="0.25">
      <c r="F30" s="43"/>
      <c r="G30" s="10" t="s">
        <v>11</v>
      </c>
      <c r="H30" s="11" t="s">
        <v>13</v>
      </c>
      <c r="I30" s="84">
        <f>-PV($C$7,$C$6,I20*1000*I6*I7*I8)</f>
        <v>154310097.941457</v>
      </c>
      <c r="J30" s="84">
        <f>-PV($C$7,$C$6,J20*1000*J6*J7*J8)</f>
        <v>529063192.94213825</v>
      </c>
      <c r="K30" s="84">
        <f>-PV($C$7,$C$6,K20*1000*K6*K7*K8)</f>
        <v>215489221.84441027</v>
      </c>
      <c r="L30" s="84">
        <f>-PV($C$7,$C$6,L20*1000*L6*L7*L8)</f>
        <v>178335907.73330504</v>
      </c>
      <c r="M30" s="84">
        <f>-PV($C$7,$C$6,M20*1000*M6*M7*M8)</f>
        <v>445839769.33326256</v>
      </c>
    </row>
    <row r="31" spans="1:15" x14ac:dyDescent="0.25">
      <c r="G31" s="10" t="str">
        <f>G19</f>
        <v>Brensels- og utslippskostnader</v>
      </c>
      <c r="H31" s="11" t="s">
        <v>13</v>
      </c>
      <c r="I31" s="84">
        <f>-PV($C$7,$C$6,I19*1000*I6*I7*I8)</f>
        <v>667549414.92049837</v>
      </c>
      <c r="J31" s="84">
        <f>-PV($C$7,$C$6,J19*1000*J6*J7*J8)</f>
        <v>2670197659.6819935</v>
      </c>
      <c r="K31" s="84">
        <f>-PV($C$7,$C$6,K19*1000*K6*K7*K8)</f>
        <v>458796848.74261039</v>
      </c>
      <c r="L31" s="84">
        <f>-PV($C$7,$C$6,L19*1000*L6*L7*L8)</f>
        <v>1583482521.1704743</v>
      </c>
      <c r="M31" s="84">
        <f>-PV($C$7,$C$6,M19*1000*M6*M7*M8)</f>
        <v>6333930084.6818972</v>
      </c>
    </row>
    <row r="32" spans="1:15" x14ac:dyDescent="0.25">
      <c r="G32" s="10" t="s">
        <v>14</v>
      </c>
      <c r="H32" s="11" t="s">
        <v>15</v>
      </c>
      <c r="I32" s="85">
        <f>-PV($C$7+$C$8,$C$6,I6*1000*I7*I8)</f>
        <v>20251745.915374327</v>
      </c>
      <c r="J32" s="85">
        <f t="shared" ref="J32:M32" si="4">-PV($C$7+$C$8,$C$6,J6*1000*J7*J8)</f>
        <v>81006983.66149731</v>
      </c>
      <c r="K32" s="85">
        <f t="shared" si="4"/>
        <v>19796650.50154569</v>
      </c>
      <c r="L32" s="85">
        <f>-PV($C$7+$C$8,$C$6,L6*1000*L7*L8)</f>
        <v>20479293.622288648</v>
      </c>
      <c r="M32" s="85">
        <f t="shared" si="4"/>
        <v>81917174.489154592</v>
      </c>
    </row>
    <row r="33" spans="7:14" x14ac:dyDescent="0.25">
      <c r="G33" s="21"/>
      <c r="H33" s="80"/>
      <c r="I33" s="81"/>
      <c r="J33" s="81"/>
      <c r="K33" s="81"/>
      <c r="L33" s="81"/>
      <c r="M33" s="81"/>
    </row>
    <row r="34" spans="7:14" x14ac:dyDescent="0.25">
      <c r="G34" s="8"/>
      <c r="H34" s="82"/>
      <c r="I34" s="9"/>
      <c r="J34" s="9"/>
      <c r="K34" s="9"/>
      <c r="L34" s="9"/>
      <c r="M34" s="9"/>
      <c r="N34" s="21"/>
    </row>
    <row r="35" spans="7:14" x14ac:dyDescent="0.25">
      <c r="G35" s="13"/>
      <c r="H35" s="82"/>
      <c r="I35" s="12"/>
      <c r="J35" s="12"/>
      <c r="K35" s="12"/>
      <c r="L35" s="12"/>
      <c r="M35" s="12"/>
      <c r="N35" s="21"/>
    </row>
    <row r="36" spans="7:14" x14ac:dyDescent="0.25">
      <c r="G36" s="21"/>
      <c r="H36" s="83"/>
      <c r="I36" s="81"/>
      <c r="J36" s="81"/>
      <c r="K36" s="81"/>
      <c r="L36" s="81"/>
      <c r="M36" s="81"/>
      <c r="N36" s="21"/>
    </row>
    <row r="37" spans="7:14" x14ac:dyDescent="0.25">
      <c r="N37" s="21"/>
    </row>
  </sheetData>
  <mergeCells count="3">
    <mergeCell ref="I5:J5"/>
    <mergeCell ref="L5:M5"/>
    <mergeCell ref="N22:O2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2017-02-27T11:38:14Z</dcterms:modified>
</cp:coreProperties>
</file>