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23" i="2" s="1"/>
  <c r="H23" i="2"/>
  <c r="I13" i="2"/>
  <c r="I12" i="2"/>
  <c r="I11" i="2"/>
  <c r="I10" i="2"/>
  <c r="I9" i="2"/>
  <c r="I27" i="2" l="1"/>
  <c r="I14" i="2"/>
  <c r="I15" i="2"/>
  <c r="C11" i="2"/>
  <c r="C8" i="2"/>
  <c r="C7" i="2"/>
  <c r="C6" i="2"/>
  <c r="C5" i="2"/>
  <c r="I24" i="2" l="1"/>
  <c r="I30" i="2"/>
  <c r="I25" i="2" s="1"/>
  <c r="I16" i="2" s="1"/>
  <c r="I18" i="2" s="1"/>
  <c r="K15" i="2"/>
  <c r="C16" i="2" l="1"/>
  <c r="D16" i="2" s="1"/>
  <c r="J6" i="2" s="1"/>
  <c r="C17" i="2"/>
  <c r="D17" i="2" s="1"/>
  <c r="K6" i="2" s="1"/>
  <c r="C15" i="2"/>
  <c r="D15" i="2" s="1"/>
  <c r="H6" i="2" s="1"/>
  <c r="J27" i="2" l="1"/>
  <c r="K27" i="2"/>
  <c r="H27" i="2"/>
  <c r="K23" i="2"/>
  <c r="H14" i="2" l="1"/>
  <c r="H15" i="2" s="1"/>
  <c r="J14" i="2"/>
  <c r="J15" i="2" s="1"/>
  <c r="J23" i="2" l="1"/>
  <c r="H24" i="2" l="1"/>
  <c r="H30" i="2"/>
  <c r="H25" i="2" s="1"/>
  <c r="J30" i="2"/>
  <c r="J25" i="2" s="1"/>
  <c r="K30" i="2"/>
  <c r="K25" i="2" s="1"/>
  <c r="J24" i="2"/>
  <c r="K24" i="2"/>
  <c r="K16" i="2" l="1"/>
  <c r="K18" i="2" s="1"/>
  <c r="J16" i="2"/>
  <c r="J18" i="2" s="1"/>
  <c r="F24" i="2"/>
  <c r="F23" i="2"/>
  <c r="H16" i="2" l="1"/>
  <c r="H18" i="2" s="1"/>
</calcChain>
</file>

<file path=xl/comments1.xml><?xml version="1.0" encoding="utf-8"?>
<comments xmlns="http://schemas.openxmlformats.org/spreadsheetml/2006/main">
  <authors>
    <author>Olav Karstad Isachsen</author>
  </authors>
  <commentList>
    <comment ref="M15" authorId="0" shapeId="0">
      <text>
        <r>
          <rPr>
            <b/>
            <sz val="8"/>
            <color indexed="81"/>
            <rFont val="Tahoma"/>
            <family val="2"/>
          </rPr>
          <t>Olav Karstad Isachsen:</t>
        </r>
        <r>
          <rPr>
            <sz val="8"/>
            <color indexed="81"/>
            <rFont val="Tahoma"/>
            <family val="2"/>
          </rPr>
          <t xml:space="preserve">
skal celle i15 endres til 0.01?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Olav Karstad Isachsen:</t>
        </r>
        <r>
          <rPr>
            <sz val="8"/>
            <color indexed="81"/>
            <rFont val="Tahoma"/>
            <family val="2"/>
          </rPr>
          <t xml:space="preserve">
endres til varme?!</t>
        </r>
      </text>
    </comment>
  </commentList>
</comments>
</file>

<file path=xl/sharedStrings.xml><?xml version="1.0" encoding="utf-8"?>
<sst xmlns="http://schemas.openxmlformats.org/spreadsheetml/2006/main" count="73" uniqueCount="60">
  <si>
    <t>Faste driftskostnader</t>
  </si>
  <si>
    <t>øre/kWh</t>
  </si>
  <si>
    <t>kWh</t>
  </si>
  <si>
    <t>Ytelse</t>
  </si>
  <si>
    <t xml:space="preserve">Fullasttimer </t>
  </si>
  <si>
    <t>timer/år</t>
  </si>
  <si>
    <t>Investeringskostnader</t>
  </si>
  <si>
    <t xml:space="preserve">Sum investeringskostnader </t>
  </si>
  <si>
    <t>Elproduksjon</t>
  </si>
  <si>
    <t>GWh/år</t>
  </si>
  <si>
    <t>Nåverdier</t>
  </si>
  <si>
    <t>Mwel/Mwkjel</t>
  </si>
  <si>
    <t>øre</t>
  </si>
  <si>
    <t>Produsert elektrisitet</t>
  </si>
  <si>
    <t>Produsert elektrisitet med degradering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</si>
  <si>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</si>
  <si>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</si>
  <si>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</si>
  <si>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</si>
  <si>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</si>
  <si>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</si>
  <si>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</si>
  <si>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</si>
  <si>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Degraderingsrate</t>
  </si>
  <si>
    <t>prosent/år</t>
  </si>
  <si>
    <t>GWh</t>
  </si>
  <si>
    <t>enhet</t>
  </si>
  <si>
    <t>Diskonteringsrente</t>
  </si>
  <si>
    <t>prosent</t>
  </si>
  <si>
    <t>faktor</t>
  </si>
  <si>
    <t>Installasjon</t>
  </si>
  <si>
    <t>Enebolig</t>
  </si>
  <si>
    <t>Næring</t>
  </si>
  <si>
    <t>Type anlegg</t>
  </si>
  <si>
    <r>
      <t>kr/kW</t>
    </r>
    <r>
      <rPr>
        <sz val="10"/>
        <rFont val="Calibri"/>
        <family val="2"/>
        <scheme val="minor"/>
      </rPr>
      <t>/år</t>
    </r>
  </si>
  <si>
    <t>,5% av investeringskostnaden for enebolig, 1% for næringsbygg og industri.  Det antas at drifts- og vedlikeholdskostnaden dekker bytte av vekselretter ca. halvveis i levetiden.</t>
  </si>
  <si>
    <t>Noe redusert ift NVE rapport 2-2015</t>
  </si>
  <si>
    <t>Noe redusert ift NVE rapport 2-2016</t>
  </si>
  <si>
    <t>Noe redusert ift NVE rapport 2-2017</t>
  </si>
  <si>
    <t>Inflasjon 2013-2016</t>
  </si>
  <si>
    <t>Multiconsult</t>
  </si>
  <si>
    <t>Multiconsult/NVE</t>
  </si>
  <si>
    <t>Næringsbygg</t>
  </si>
  <si>
    <t>Frittstående</t>
  </si>
  <si>
    <t>Solfanger</t>
  </si>
  <si>
    <t>Rørføring</t>
  </si>
  <si>
    <t>Styringssystem</t>
  </si>
  <si>
    <t>Varmelager</t>
  </si>
  <si>
    <t>kr/kW</t>
  </si>
  <si>
    <t>MW</t>
  </si>
  <si>
    <t>Enebolig-Kombi</t>
  </si>
  <si>
    <t>m2</t>
  </si>
  <si>
    <t>kW</t>
  </si>
  <si>
    <t>1 m2 = 0,7 kW</t>
  </si>
  <si>
    <t>Solvarme Oslo (ST)</t>
  </si>
  <si>
    <t xml:space="preserve">Oslo </t>
  </si>
  <si>
    <t>450 kWh/m2</t>
  </si>
  <si>
    <t>IEA SHC - 0,7 kW/m2</t>
  </si>
  <si>
    <t>mva</t>
  </si>
  <si>
    <t>Enebolig-Kombi, inkl. mva.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</si>
</sst>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73">
    <xf numFmtId="0" fontId="0" fillId="0" borderId="0" xfId="0"/>
    <xf numFmtId="164" fontId="7" fillId="0" borderId="1" xfId="1" applyFont="1" applyFill="1" applyBorder="1"/>
    <xf numFmtId="164" fontId="4" fillId="0" borderId="12" xfId="1" applyFont="1" applyFill="1" applyBorder="1" applyAlignment="1">
      <alignment horizontal="right"/>
    </xf>
    <xf numFmtId="164" fontId="7" fillId="0" borderId="15" xfId="1" applyFont="1" applyFill="1" applyBorder="1"/>
    <xf numFmtId="164" fontId="7" fillId="0" borderId="2" xfId="1" applyFont="1" applyFill="1" applyBorder="1"/>
    <xf numFmtId="164" fontId="7" fillId="0" borderId="18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left" indent="1"/>
    </xf>
    <xf numFmtId="164" fontId="4" fillId="0" borderId="18" xfId="1" applyFont="1" applyFill="1" applyBorder="1" applyAlignment="1">
      <alignment horizontal="right"/>
    </xf>
    <xf numFmtId="3" fontId="4" fillId="0" borderId="9" xfId="1" applyNumberFormat="1" applyFont="1" applyFill="1" applyBorder="1"/>
    <xf numFmtId="164" fontId="4" fillId="0" borderId="16" xfId="1" applyFont="1" applyFill="1" applyBorder="1" applyAlignment="1">
      <alignment horizontal="right"/>
    </xf>
    <xf numFmtId="3" fontId="4" fillId="0" borderId="3" xfId="2" applyNumberFormat="1" applyFont="1" applyFill="1" applyBorder="1"/>
    <xf numFmtId="164" fontId="4" fillId="0" borderId="20" xfId="1" applyFont="1" applyFill="1" applyBorder="1" applyAlignment="1">
      <alignment horizontal="right"/>
    </xf>
    <xf numFmtId="164" fontId="7" fillId="0" borderId="21" xfId="1" applyFont="1" applyFill="1" applyBorder="1"/>
    <xf numFmtId="164" fontId="7" fillId="0" borderId="22" xfId="1" applyFont="1" applyFill="1" applyBorder="1" applyAlignment="1">
      <alignment horizontal="right"/>
    </xf>
    <xf numFmtId="165" fontId="7" fillId="0" borderId="22" xfId="0" applyNumberFormat="1" applyFont="1" applyFill="1" applyBorder="1"/>
    <xf numFmtId="0" fontId="4" fillId="0" borderId="0" xfId="0" applyFont="1"/>
    <xf numFmtId="164" fontId="9" fillId="0" borderId="0" xfId="1" applyFont="1" applyFill="1" applyBorder="1"/>
    <xf numFmtId="164" fontId="9" fillId="0" borderId="0" xfId="1" applyFont="1" applyFill="1" applyBorder="1" applyAlignment="1">
      <alignment horizontal="right"/>
    </xf>
    <xf numFmtId="165" fontId="9" fillId="0" borderId="0" xfId="1" applyNumberFormat="1" applyFont="1" applyFill="1" applyBorder="1"/>
    <xf numFmtId="164" fontId="7" fillId="0" borderId="23" xfId="1" applyFont="1" applyFill="1" applyBorder="1"/>
    <xf numFmtId="0" fontId="7" fillId="0" borderId="4" xfId="0" applyFont="1" applyBorder="1" applyAlignment="1">
      <alignment horizontal="right"/>
    </xf>
    <xf numFmtId="0" fontId="7" fillId="0" borderId="24" xfId="0" applyFont="1" applyBorder="1"/>
    <xf numFmtId="164" fontId="4" fillId="0" borderId="23" xfId="0" applyNumberFormat="1" applyFont="1" applyBorder="1"/>
    <xf numFmtId="0" fontId="4" fillId="0" borderId="8" xfId="0" applyFont="1" applyBorder="1" applyAlignment="1">
      <alignment horizontal="right"/>
    </xf>
    <xf numFmtId="164" fontId="4" fillId="0" borderId="4" xfId="0" applyNumberFormat="1" applyFont="1" applyBorder="1"/>
    <xf numFmtId="164" fontId="4" fillId="0" borderId="19" xfId="0" applyNumberFormat="1" applyFont="1" applyBorder="1"/>
    <xf numFmtId="0" fontId="4" fillId="0" borderId="18" xfId="0" applyFont="1" applyBorder="1" applyAlignment="1">
      <alignment horizontal="right"/>
    </xf>
    <xf numFmtId="40" fontId="4" fillId="0" borderId="0" xfId="0" applyNumberFormat="1" applyFont="1" applyBorder="1"/>
    <xf numFmtId="0" fontId="4" fillId="0" borderId="0" xfId="0" applyFont="1" applyBorder="1"/>
    <xf numFmtId="0" fontId="5" fillId="2" borderId="27" xfId="0" applyFont="1" applyFill="1" applyBorder="1"/>
    <xf numFmtId="0" fontId="5" fillId="2" borderId="28" xfId="0" applyFont="1" applyFill="1" applyBorder="1"/>
    <xf numFmtId="2" fontId="4" fillId="0" borderId="0" xfId="0" applyNumberFormat="1" applyFont="1"/>
    <xf numFmtId="0" fontId="2" fillId="0" borderId="0" xfId="0" applyFont="1" applyBorder="1"/>
    <xf numFmtId="164" fontId="7" fillId="3" borderId="18" xfId="1" applyFont="1" applyFill="1" applyBorder="1" applyAlignment="1">
      <alignment horizontal="right"/>
    </xf>
    <xf numFmtId="164" fontId="7" fillId="3" borderId="9" xfId="1" applyFont="1" applyFill="1" applyBorder="1"/>
    <xf numFmtId="164" fontId="4" fillId="3" borderId="10" xfId="1" applyFont="1" applyFill="1" applyBorder="1"/>
    <xf numFmtId="3" fontId="4" fillId="4" borderId="13" xfId="1" applyNumberFormat="1" applyFont="1" applyFill="1" applyBorder="1"/>
    <xf numFmtId="3" fontId="4" fillId="4" borderId="14" xfId="1" applyNumberFormat="1" applyFont="1" applyFill="1" applyBorder="1"/>
    <xf numFmtId="3" fontId="4" fillId="4" borderId="9" xfId="1" applyNumberFormat="1" applyFont="1" applyFill="1" applyBorder="1"/>
    <xf numFmtId="3" fontId="4" fillId="4" borderId="10" xfId="1" applyNumberFormat="1" applyFont="1" applyFill="1" applyBorder="1"/>
    <xf numFmtId="0" fontId="0" fillId="5" borderId="0" xfId="0" applyFill="1"/>
    <xf numFmtId="164" fontId="5" fillId="5" borderId="2" xfId="1" applyFont="1" applyFill="1" applyBorder="1"/>
    <xf numFmtId="164" fontId="5" fillId="5" borderId="8" xfId="1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164" fontId="5" fillId="5" borderId="11" xfId="1" applyFont="1" applyFill="1" applyBorder="1" applyAlignment="1">
      <alignment horizontal="right"/>
    </xf>
    <xf numFmtId="164" fontId="5" fillId="5" borderId="9" xfId="1" applyFont="1" applyFill="1" applyBorder="1" applyAlignment="1">
      <alignment horizontal="right"/>
    </xf>
    <xf numFmtId="164" fontId="5" fillId="5" borderId="10" xfId="1" applyFont="1" applyFill="1" applyBorder="1" applyAlignment="1">
      <alignment horizontal="right"/>
    </xf>
    <xf numFmtId="0" fontId="0" fillId="0" borderId="25" xfId="0" applyBorder="1"/>
    <xf numFmtId="40" fontId="0" fillId="0" borderId="26" xfId="0" applyNumberFormat="1" applyBorder="1"/>
    <xf numFmtId="0" fontId="4" fillId="0" borderId="18" xfId="0" applyFont="1" applyFill="1" applyBorder="1" applyAlignment="1">
      <alignment horizontal="right"/>
    </xf>
    <xf numFmtId="40" fontId="0" fillId="0" borderId="0" xfId="0" applyNumberFormat="1"/>
    <xf numFmtId="0" fontId="0" fillId="0" borderId="0" xfId="0" applyBorder="1"/>
    <xf numFmtId="2" fontId="7" fillId="0" borderId="0" xfId="0" applyNumberFormat="1" applyFont="1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6" fontId="0" fillId="0" borderId="0" xfId="3" applyNumberFormat="1" applyFont="1" applyBorder="1"/>
    <xf numFmtId="164" fontId="5" fillId="5" borderId="0" xfId="1" applyFont="1" applyFill="1" applyBorder="1"/>
    <xf numFmtId="3" fontId="4" fillId="0" borderId="10" xfId="1" applyNumberFormat="1" applyFont="1" applyFill="1" applyBorder="1"/>
    <xf numFmtId="3" fontId="4" fillId="0" borderId="17" xfId="2" applyNumberFormat="1" applyFont="1" applyFill="1" applyBorder="1"/>
    <xf numFmtId="165" fontId="7" fillId="0" borderId="29" xfId="0" applyNumberFormat="1" applyFont="1" applyFill="1" applyBorder="1"/>
    <xf numFmtId="2" fontId="0" fillId="0" borderId="0" xfId="0" applyNumberFormat="1"/>
    <xf numFmtId="167" fontId="9" fillId="0" borderId="0" xfId="2" applyNumberFormat="1" applyFont="1" applyFill="1" applyBorder="1"/>
    <xf numFmtId="4" fontId="4" fillId="4" borderId="9" xfId="1" applyNumberFormat="1" applyFont="1" applyFill="1" applyBorder="1"/>
    <xf numFmtId="4" fontId="4" fillId="4" borderId="10" xfId="1" applyNumberFormat="1" applyFont="1" applyFill="1" applyBorder="1"/>
    <xf numFmtId="0" fontId="11" fillId="0" borderId="0" xfId="0" applyFont="1"/>
    <xf numFmtId="0" fontId="0" fillId="0" borderId="0" xfId="0" applyFont="1"/>
    <xf numFmtId="3" fontId="0" fillId="0" borderId="0" xfId="0" applyNumberFormat="1" applyFont="1"/>
    <xf numFmtId="0" fontId="6" fillId="5" borderId="9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</cellXfs>
  <cellStyles count="5">
    <cellStyle name="Comma 2" xfId="4"/>
    <cellStyle name="Normal" xfId="0" builtinId="0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/>
      <sheetData sheetId="1"/>
      <sheetData sheetId="2"/>
      <sheetData sheetId="3">
        <row r="1">
          <cell r="C1">
            <v>1.07973174366617</v>
          </cell>
        </row>
        <row r="25">
          <cell r="C25">
            <v>0</v>
          </cell>
        </row>
        <row r="50">
          <cell r="C50">
            <v>25</v>
          </cell>
        </row>
        <row r="51">
          <cell r="D51">
            <v>0.06</v>
          </cell>
          <cell r="E51">
            <v>1E-3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M31"/>
  <sheetViews>
    <sheetView tabSelected="1" topLeftCell="A2" workbookViewId="0">
      <selection activeCell="M23" sqref="M23:Q37"/>
    </sheetView>
  </sheetViews>
  <sheetFormatPr baseColWidth="10" defaultRowHeight="15" x14ac:dyDescent="0.25"/>
  <cols>
    <col min="1" max="1" width="16.85546875" customWidth="1"/>
    <col min="6" max="6" width="43.5703125" customWidth="1"/>
    <col min="8" max="9" width="13.42578125" customWidth="1"/>
    <col min="10" max="10" width="12.28515625" customWidth="1"/>
    <col min="11" max="11" width="15.140625" customWidth="1"/>
    <col min="12" max="12" width="24.42578125" customWidth="1"/>
    <col min="13" max="13" width="20.140625" customWidth="1"/>
  </cols>
  <sheetData>
    <row r="3" spans="1:13" ht="15.75" thickBot="1" x14ac:dyDescent="0.3"/>
    <row r="4" spans="1:13" x14ac:dyDescent="0.25">
      <c r="A4" s="29"/>
      <c r="B4" s="29" t="s">
        <v>26</v>
      </c>
      <c r="C4" s="30"/>
      <c r="D4" s="55"/>
      <c r="F4" s="70" t="s">
        <v>54</v>
      </c>
      <c r="G4" s="71"/>
      <c r="H4" s="71"/>
      <c r="I4" s="71"/>
      <c r="J4" s="71"/>
      <c r="K4" s="72"/>
      <c r="L4" s="40"/>
      <c r="M4" s="40"/>
    </row>
    <row r="5" spans="1:13" ht="39" x14ac:dyDescent="0.25">
      <c r="A5" s="29" t="s">
        <v>21</v>
      </c>
      <c r="B5" t="s">
        <v>20</v>
      </c>
      <c r="C5">
        <f>'[1]byggetid levetid rente'!$C$25</f>
        <v>0</v>
      </c>
      <c r="E5" s="32"/>
      <c r="F5" s="41"/>
      <c r="G5" s="42" t="s">
        <v>33</v>
      </c>
      <c r="H5" s="43" t="s">
        <v>50</v>
      </c>
      <c r="I5" s="69" t="s">
        <v>59</v>
      </c>
      <c r="J5" s="43" t="s">
        <v>32</v>
      </c>
      <c r="K5" s="44" t="s">
        <v>43</v>
      </c>
      <c r="L5" s="40"/>
      <c r="M5" s="40"/>
    </row>
    <row r="6" spans="1:13" ht="15.75" thickBot="1" x14ac:dyDescent="0.3">
      <c r="A6" s="29" t="s">
        <v>22</v>
      </c>
      <c r="B6" t="s">
        <v>20</v>
      </c>
      <c r="C6" s="52">
        <f>'[1]byggetid levetid rente'!$C$50</f>
        <v>25</v>
      </c>
      <c r="E6" s="32"/>
      <c r="F6" s="41" t="s">
        <v>3</v>
      </c>
      <c r="G6" s="45" t="s">
        <v>49</v>
      </c>
      <c r="H6" s="46">
        <f>D15</f>
        <v>8.3999999999999977E-3</v>
      </c>
      <c r="I6" s="46">
        <f>D15</f>
        <v>8.3999999999999977E-3</v>
      </c>
      <c r="J6" s="46">
        <f>D16</f>
        <v>0.21</v>
      </c>
      <c r="K6" s="47">
        <f>D17</f>
        <v>7</v>
      </c>
      <c r="L6" s="58" t="s">
        <v>16</v>
      </c>
      <c r="M6" s="41" t="s">
        <v>15</v>
      </c>
    </row>
    <row r="7" spans="1:13" x14ac:dyDescent="0.25">
      <c r="A7" s="29" t="s">
        <v>27</v>
      </c>
      <c r="B7" t="s">
        <v>24</v>
      </c>
      <c r="C7" s="56">
        <f>'[1]byggetid levetid rente'!$D$51</f>
        <v>0.06</v>
      </c>
      <c r="E7" s="32"/>
      <c r="F7" s="1" t="s">
        <v>4</v>
      </c>
      <c r="G7" s="2" t="s">
        <v>5</v>
      </c>
      <c r="H7" s="36">
        <v>643</v>
      </c>
      <c r="I7" s="36">
        <v>643</v>
      </c>
      <c r="J7" s="36">
        <v>643</v>
      </c>
      <c r="K7" s="37">
        <v>643</v>
      </c>
      <c r="L7" t="s">
        <v>57</v>
      </c>
    </row>
    <row r="8" spans="1:13" x14ac:dyDescent="0.25">
      <c r="A8" s="29" t="s">
        <v>23</v>
      </c>
      <c r="B8" s="15" t="s">
        <v>28</v>
      </c>
      <c r="C8" s="57">
        <f>'[1]byggetid levetid rente'!$E$51</f>
        <v>1E-3</v>
      </c>
      <c r="E8" s="15"/>
      <c r="F8" s="4" t="s">
        <v>6</v>
      </c>
      <c r="G8" s="33"/>
      <c r="H8" s="34"/>
      <c r="I8" s="34"/>
      <c r="J8" s="34"/>
      <c r="K8" s="35"/>
    </row>
    <row r="9" spans="1:13" x14ac:dyDescent="0.25">
      <c r="A9" s="29" t="s">
        <v>58</v>
      </c>
      <c r="B9" s="15" t="s">
        <v>28</v>
      </c>
      <c r="C9" s="53">
        <v>0.25</v>
      </c>
      <c r="D9" s="15"/>
      <c r="E9" s="15"/>
      <c r="F9" s="6" t="s">
        <v>44</v>
      </c>
      <c r="G9" s="7" t="s">
        <v>48</v>
      </c>
      <c r="H9" s="38">
        <v>2014</v>
      </c>
      <c r="I9" s="38">
        <f>2014*(1+C9)</f>
        <v>2517.5</v>
      </c>
      <c r="J9" s="38">
        <v>2248</v>
      </c>
      <c r="K9" s="39"/>
      <c r="L9" t="s">
        <v>40</v>
      </c>
      <c r="M9" t="s">
        <v>36</v>
      </c>
    </row>
    <row r="10" spans="1:13" x14ac:dyDescent="0.25">
      <c r="A10" s="29"/>
      <c r="B10" s="15"/>
      <c r="C10" s="54"/>
      <c r="E10" s="15"/>
      <c r="F10" s="6" t="s">
        <v>45</v>
      </c>
      <c r="G10" s="7" t="s">
        <v>48</v>
      </c>
      <c r="H10" s="38">
        <v>336</v>
      </c>
      <c r="I10" s="38">
        <f>336*(1+C9)</f>
        <v>420</v>
      </c>
      <c r="J10" s="38">
        <v>1115</v>
      </c>
      <c r="K10" s="39"/>
      <c r="L10" t="s">
        <v>40</v>
      </c>
      <c r="M10" t="s">
        <v>37</v>
      </c>
    </row>
    <row r="11" spans="1:13" x14ac:dyDescent="0.25">
      <c r="A11" s="29" t="s">
        <v>39</v>
      </c>
      <c r="B11" s="15" t="s">
        <v>29</v>
      </c>
      <c r="C11" s="62">
        <f>'[1]byggetid levetid rente'!$C$1</f>
        <v>1.07973174366617</v>
      </c>
      <c r="E11" s="15"/>
      <c r="F11" s="6" t="s">
        <v>46</v>
      </c>
      <c r="G11" s="7" t="s">
        <v>48</v>
      </c>
      <c r="H11" s="38">
        <v>302</v>
      </c>
      <c r="I11" s="38">
        <f>302*(1+C9)</f>
        <v>377.5</v>
      </c>
      <c r="J11" s="38">
        <v>673</v>
      </c>
      <c r="K11" s="39"/>
      <c r="L11" t="s">
        <v>40</v>
      </c>
      <c r="M11" t="s">
        <v>38</v>
      </c>
    </row>
    <row r="12" spans="1:13" x14ac:dyDescent="0.25">
      <c r="B12" s="15"/>
      <c r="C12" s="15"/>
      <c r="D12" s="15"/>
      <c r="E12" s="15"/>
      <c r="F12" s="6" t="s">
        <v>47</v>
      </c>
      <c r="G12" s="7" t="s">
        <v>48</v>
      </c>
      <c r="H12" s="38">
        <v>4206</v>
      </c>
      <c r="I12" s="38">
        <f>4206*(1+C9)</f>
        <v>5257.5</v>
      </c>
      <c r="J12" s="38">
        <v>1093</v>
      </c>
      <c r="K12" s="39"/>
    </row>
    <row r="13" spans="1:13" x14ac:dyDescent="0.25">
      <c r="E13" s="31"/>
      <c r="F13" s="6" t="s">
        <v>30</v>
      </c>
      <c r="G13" s="7" t="s">
        <v>48</v>
      </c>
      <c r="H13" s="8">
        <v>1714</v>
      </c>
      <c r="I13" s="8">
        <f>1714*(1+C9)</f>
        <v>2142.5</v>
      </c>
      <c r="J13" s="8">
        <v>585</v>
      </c>
      <c r="K13" s="59">
        <v>0</v>
      </c>
    </row>
    <row r="14" spans="1:13" x14ac:dyDescent="0.25">
      <c r="B14" s="66" t="s">
        <v>51</v>
      </c>
      <c r="C14" s="66" t="s">
        <v>52</v>
      </c>
      <c r="D14" s="31" t="s">
        <v>49</v>
      </c>
      <c r="E14" s="31"/>
      <c r="F14" s="3" t="s">
        <v>7</v>
      </c>
      <c r="G14" s="9" t="s">
        <v>48</v>
      </c>
      <c r="H14" s="10">
        <f>SUM(H9:H13)</f>
        <v>8572</v>
      </c>
      <c r="I14" s="10">
        <f>SUM(I9:I13)</f>
        <v>10715</v>
      </c>
      <c r="J14" s="10">
        <f>SUM(J9:J13)</f>
        <v>5714</v>
      </c>
      <c r="K14" s="60">
        <v>2857</v>
      </c>
    </row>
    <row r="15" spans="1:13" x14ac:dyDescent="0.25">
      <c r="A15" t="s">
        <v>31</v>
      </c>
      <c r="B15" s="66">
        <v>12</v>
      </c>
      <c r="C15" s="66">
        <f>B15*0.7</f>
        <v>8.3999999999999986</v>
      </c>
      <c r="D15" s="31">
        <f>C15/1000</f>
        <v>8.3999999999999977E-3</v>
      </c>
      <c r="E15" s="31"/>
      <c r="F15" s="3" t="s">
        <v>0</v>
      </c>
      <c r="G15" s="9" t="s">
        <v>34</v>
      </c>
      <c r="H15" s="38">
        <f>0.005*H14</f>
        <v>42.86</v>
      </c>
      <c r="I15" s="38">
        <f>0.005*I14</f>
        <v>53.575000000000003</v>
      </c>
      <c r="J15" s="38">
        <f>0.005*J14</f>
        <v>28.57</v>
      </c>
      <c r="K15" s="38">
        <f>0.01*K14</f>
        <v>28.57</v>
      </c>
      <c r="L15" t="s">
        <v>41</v>
      </c>
      <c r="M15" t="s">
        <v>35</v>
      </c>
    </row>
    <row r="16" spans="1:13" ht="15.75" thickBot="1" x14ac:dyDescent="0.3">
      <c r="A16" t="s">
        <v>42</v>
      </c>
      <c r="B16" s="67">
        <v>300</v>
      </c>
      <c r="C16" s="66">
        <f t="shared" ref="C16:C17" si="0">B16*0.7</f>
        <v>210</v>
      </c>
      <c r="D16" s="31">
        <f t="shared" ref="D16:D17" si="1">C16/1000</f>
        <v>0.21</v>
      </c>
      <c r="F16" s="12" t="s">
        <v>18</v>
      </c>
      <c r="G16" s="13" t="s">
        <v>1</v>
      </c>
      <c r="H16" s="14">
        <f>(H23+H24)/H25</f>
        <v>110.9783313503722</v>
      </c>
      <c r="I16" s="14">
        <f>(I23+I24)/I25</f>
        <v>138.72291418796524</v>
      </c>
      <c r="J16" s="14">
        <f>(J23+J24)/J25</f>
        <v>73.976923160992357</v>
      </c>
      <c r="K16" s="61">
        <f>(K23+K24)/K25</f>
        <v>39.210612253682356</v>
      </c>
    </row>
    <row r="17" spans="1:11" x14ac:dyDescent="0.25">
      <c r="A17" t="s">
        <v>43</v>
      </c>
      <c r="B17" s="68">
        <v>10000</v>
      </c>
      <c r="C17" s="66">
        <f t="shared" si="0"/>
        <v>7000</v>
      </c>
      <c r="D17" s="31">
        <f t="shared" si="1"/>
        <v>7</v>
      </c>
      <c r="F17" s="4" t="s">
        <v>17</v>
      </c>
      <c r="G17" s="5"/>
      <c r="H17" s="64">
        <v>0.48275862068965514</v>
      </c>
      <c r="I17" s="64">
        <v>0.48275862068965514</v>
      </c>
      <c r="J17" s="64">
        <v>0.48275862068965514</v>
      </c>
      <c r="K17" s="65">
        <v>0.48275862068965514</v>
      </c>
    </row>
    <row r="18" spans="1:11" ht="15.75" thickBot="1" x14ac:dyDescent="0.3">
      <c r="F18" s="12" t="s">
        <v>19</v>
      </c>
      <c r="G18" s="13" t="s">
        <v>1</v>
      </c>
      <c r="H18" s="14">
        <f>H16*H17</f>
        <v>53.575746169145198</v>
      </c>
      <c r="I18" s="14">
        <f>I16*I17</f>
        <v>66.969682711431489</v>
      </c>
      <c r="J18" s="14">
        <f>J16*J17</f>
        <v>35.712997388065276</v>
      </c>
      <c r="K18" s="61">
        <f>K16*K17</f>
        <v>18.929261087984585</v>
      </c>
    </row>
    <row r="19" spans="1:11" x14ac:dyDescent="0.25">
      <c r="B19" t="s">
        <v>53</v>
      </c>
      <c r="J19" s="18"/>
      <c r="K19" s="18"/>
    </row>
    <row r="20" spans="1:11" x14ac:dyDescent="0.25">
      <c r="B20" t="s">
        <v>55</v>
      </c>
      <c r="C20" t="s">
        <v>56</v>
      </c>
      <c r="F20" s="16"/>
      <c r="G20" s="17"/>
      <c r="H20" s="18"/>
      <c r="I20" s="18"/>
      <c r="J20" s="18"/>
      <c r="K20" s="18"/>
    </row>
    <row r="21" spans="1:11" x14ac:dyDescent="0.25">
      <c r="F21" s="15"/>
      <c r="G21" s="15"/>
      <c r="H21" s="15"/>
      <c r="I21" s="15"/>
      <c r="J21" s="15"/>
      <c r="K21" s="15"/>
    </row>
    <row r="22" spans="1:11" x14ac:dyDescent="0.25">
      <c r="F22" s="19" t="s">
        <v>10</v>
      </c>
      <c r="G22" s="20" t="s">
        <v>11</v>
      </c>
      <c r="H22" s="21">
        <v>0.01</v>
      </c>
      <c r="I22" s="21">
        <v>0.01</v>
      </c>
      <c r="J22" s="21"/>
      <c r="K22" s="21"/>
    </row>
    <row r="23" spans="1:11" x14ac:dyDescent="0.25">
      <c r="F23" s="22" t="str">
        <f>F8</f>
        <v>Investeringskostnader</v>
      </c>
      <c r="G23" s="23" t="s">
        <v>12</v>
      </c>
      <c r="H23" s="24">
        <f>H14*100*1000*H6</f>
        <v>7200479.9999999981</v>
      </c>
      <c r="I23" s="24">
        <f>I14*100*1000*I6</f>
        <v>9000599.9999999981</v>
      </c>
      <c r="J23" s="24">
        <f>J14*100*1000*J6</f>
        <v>119994000</v>
      </c>
      <c r="K23" s="24">
        <f>K14*100*1000*K6</f>
        <v>1999900000</v>
      </c>
    </row>
    <row r="24" spans="1:11" x14ac:dyDescent="0.25">
      <c r="F24" s="25" t="str">
        <f>F15</f>
        <v>Faste driftskostnader</v>
      </c>
      <c r="G24" s="26" t="s">
        <v>12</v>
      </c>
      <c r="H24" s="27">
        <f>-PV($C$7,$C$6,H15*100*1000*H6)</f>
        <v>460231.50175244251</v>
      </c>
      <c r="I24" s="27">
        <f>-PV($C$7,$C$6,I15*100*1000*I6)</f>
        <v>575289.37719055312</v>
      </c>
      <c r="J24" s="27">
        <f>-PV($C$7,$C$6,J15*100*1000*J6)</f>
        <v>7669630.1942762993</v>
      </c>
      <c r="K24" s="27">
        <f>-PV($C$7,$C$6,K15*100*1000*K6)</f>
        <v>255654339.80921</v>
      </c>
    </row>
    <row r="25" spans="1:11" x14ac:dyDescent="0.25">
      <c r="F25" s="25" t="s">
        <v>13</v>
      </c>
      <c r="G25" s="26" t="s">
        <v>2</v>
      </c>
      <c r="H25" s="27">
        <f>-PV($C$7,$C$6,H30*1000000)</f>
        <v>69028.894276366758</v>
      </c>
      <c r="I25" s="27">
        <f>-PV($C$7,$C$6,I30*1000000)</f>
        <v>69028.894276366758</v>
      </c>
      <c r="J25" s="27">
        <f t="shared" ref="J25:K25" si="2">-PV($C$7,$C$6,J30*1000000)</f>
        <v>1725722.35690917</v>
      </c>
      <c r="K25" s="27">
        <f t="shared" si="2"/>
        <v>57524078.563638993</v>
      </c>
    </row>
    <row r="26" spans="1:11" x14ac:dyDescent="0.25">
      <c r="F26" s="48"/>
      <c r="G26" s="11"/>
      <c r="H26" s="49"/>
      <c r="I26" s="49"/>
      <c r="J26" s="49"/>
      <c r="K26" s="49"/>
    </row>
    <row r="27" spans="1:11" x14ac:dyDescent="0.25">
      <c r="F27" s="16" t="s">
        <v>8</v>
      </c>
      <c r="G27" s="26" t="s">
        <v>9</v>
      </c>
      <c r="H27" s="63">
        <f>H7*H6/1000</f>
        <v>5.4011999999999984E-3</v>
      </c>
      <c r="I27" s="63">
        <f>I7*I6/1000</f>
        <v>5.4011999999999984E-3</v>
      </c>
      <c r="J27" s="63">
        <f>J7*J6/1000</f>
        <v>0.13503000000000001</v>
      </c>
      <c r="K27" s="63">
        <f>K7*K6/1000</f>
        <v>4.5010000000000003</v>
      </c>
    </row>
    <row r="28" spans="1:11" x14ac:dyDescent="0.25">
      <c r="F28" s="16"/>
      <c r="G28" s="26"/>
      <c r="H28" s="18"/>
      <c r="I28" s="18"/>
      <c r="J28" s="18"/>
      <c r="K28" s="18"/>
    </row>
    <row r="29" spans="1:11" x14ac:dyDescent="0.25">
      <c r="F29" s="28"/>
      <c r="G29" s="26"/>
      <c r="H29" s="27"/>
      <c r="I29" s="27"/>
      <c r="J29" s="27"/>
      <c r="K29" s="27"/>
    </row>
    <row r="30" spans="1:11" x14ac:dyDescent="0.25">
      <c r="F30" s="28" t="s">
        <v>14</v>
      </c>
      <c r="G30" s="26" t="s">
        <v>25</v>
      </c>
      <c r="H30" s="27">
        <f>($C$6*H27*(1-$C$8/100)^($C$6-1))/25</f>
        <v>5.3999038610621931E-3</v>
      </c>
      <c r="I30" s="27">
        <f>($C$6*I27*(1-$C$8/100)^($C$6-1))/25</f>
        <v>5.3999038610621931E-3</v>
      </c>
      <c r="J30" s="27">
        <f t="shared" ref="J30:K30" si="3">($C$6*J27*(1-$C$8/100)^($C$6-1))/25</f>
        <v>0.13499759652655491</v>
      </c>
      <c r="K30" s="27">
        <f t="shared" si="3"/>
        <v>4.499919884218496</v>
      </c>
    </row>
    <row r="31" spans="1:11" x14ac:dyDescent="0.25">
      <c r="G31" s="50"/>
      <c r="H31" s="51"/>
      <c r="I31" s="51"/>
      <c r="J31" s="51"/>
      <c r="K31" s="51"/>
    </row>
  </sheetData>
  <mergeCells count="1">
    <mergeCell ref="F4:K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2017-03-17T15:37:31Z</dcterms:modified>
</cp:coreProperties>
</file>