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/>
  </bookViews>
  <sheets>
    <sheet name="Kostnad 2016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H11" i="2"/>
  <c r="I10" i="2"/>
  <c r="H10" i="2"/>
  <c r="G11" i="2"/>
  <c r="G10" i="2"/>
  <c r="I37" i="2" l="1"/>
  <c r="H37" i="2"/>
  <c r="G37" i="2"/>
  <c r="I18" i="2"/>
  <c r="H18" i="2"/>
  <c r="G18" i="2"/>
  <c r="I16" i="2"/>
  <c r="H16" i="2"/>
  <c r="G16" i="2"/>
  <c r="I13" i="2"/>
  <c r="H13" i="2"/>
  <c r="G13" i="2"/>
  <c r="I12" i="2"/>
  <c r="H12" i="2"/>
  <c r="G12" i="2"/>
  <c r="C7" i="2" l="1"/>
  <c r="L37" i="2" l="1"/>
  <c r="K37" i="2"/>
  <c r="J37" i="2"/>
  <c r="C8" i="2" l="1"/>
  <c r="C14" i="2" l="1"/>
  <c r="C13" i="2"/>
  <c r="H21" i="2" l="1"/>
  <c r="I21" i="2"/>
  <c r="G21" i="2"/>
  <c r="L21" i="2"/>
  <c r="K21" i="2"/>
  <c r="J21" i="2"/>
  <c r="C15" i="2"/>
  <c r="C9" i="2" l="1"/>
  <c r="C6" i="2"/>
  <c r="C5" i="2"/>
  <c r="G32" i="2" l="1"/>
  <c r="I38" i="2"/>
  <c r="I39" i="2" s="1"/>
  <c r="H38" i="2"/>
  <c r="H39" i="2" s="1"/>
  <c r="H32" i="2"/>
  <c r="I33" i="2"/>
  <c r="H33" i="2"/>
  <c r="G38" i="2"/>
  <c r="G39" i="2" s="1"/>
  <c r="I32" i="2"/>
  <c r="I14" i="2"/>
  <c r="I15" i="2" s="1"/>
  <c r="I31" i="2" s="1"/>
  <c r="H14" i="2"/>
  <c r="H15" i="2" s="1"/>
  <c r="H31" i="2" s="1"/>
  <c r="G14" i="2"/>
  <c r="G15" i="2" s="1"/>
  <c r="G31" i="2" s="1"/>
  <c r="G35" i="2"/>
  <c r="G36" i="2" s="1"/>
  <c r="I35" i="2"/>
  <c r="I36" i="2" s="1"/>
  <c r="H35" i="2"/>
  <c r="H36" i="2" s="1"/>
  <c r="J38" i="2"/>
  <c r="J39" i="2" s="1"/>
  <c r="K38" i="2"/>
  <c r="K39" i="2" s="1"/>
  <c r="L38" i="2"/>
  <c r="L39" i="2" s="1"/>
  <c r="L35" i="2"/>
  <c r="L36" i="2" s="1"/>
  <c r="J35" i="2"/>
  <c r="K35" i="2"/>
  <c r="K36" i="2" s="1"/>
  <c r="L16" i="2" l="1"/>
  <c r="K16" i="2"/>
  <c r="J16" i="2"/>
  <c r="J12" i="2" l="1"/>
  <c r="L13" i="2"/>
  <c r="L12" i="2"/>
  <c r="E34" i="2" l="1"/>
  <c r="E33" i="2"/>
  <c r="E32" i="2"/>
  <c r="E31" i="2"/>
  <c r="L18" i="2"/>
  <c r="K18" i="2"/>
  <c r="J18" i="2"/>
  <c r="K13" i="2"/>
  <c r="J13" i="2"/>
  <c r="K12" i="2"/>
  <c r="C12" i="2"/>
  <c r="A12" i="2"/>
  <c r="C11" i="2"/>
  <c r="A11" i="2"/>
  <c r="C10" i="2"/>
  <c r="A10" i="2"/>
  <c r="I20" i="2" l="1"/>
  <c r="G20" i="2"/>
  <c r="H20" i="2"/>
  <c r="G19" i="2"/>
  <c r="I19" i="2"/>
  <c r="H19" i="2"/>
  <c r="I22" i="2"/>
  <c r="I34" i="2" s="1"/>
  <c r="I24" i="2" s="1"/>
  <c r="I26" i="2" s="1"/>
  <c r="G22" i="2"/>
  <c r="G34" i="2" s="1"/>
  <c r="G24" i="2" s="1"/>
  <c r="G26" i="2" s="1"/>
  <c r="H22" i="2"/>
  <c r="H34" i="2" s="1"/>
  <c r="H24" i="2" s="1"/>
  <c r="H26" i="2" s="1"/>
  <c r="L20" i="2"/>
  <c r="K20" i="2"/>
  <c r="J20" i="2"/>
  <c r="L19" i="2"/>
  <c r="K19" i="2"/>
  <c r="J19" i="2"/>
  <c r="J36" i="2"/>
  <c r="L14" i="2"/>
  <c r="L15" i="2" s="1"/>
  <c r="L31" i="2" s="1"/>
  <c r="L32" i="2"/>
  <c r="K33" i="2"/>
  <c r="K14" i="2"/>
  <c r="K15" i="2" s="1"/>
  <c r="K31" i="2" s="1"/>
  <c r="J32" i="2"/>
  <c r="J14" i="2"/>
  <c r="J15" i="2" s="1"/>
  <c r="J31" i="2" s="1"/>
  <c r="L33" i="2"/>
  <c r="K32" i="2"/>
  <c r="L22" i="2" l="1"/>
  <c r="J22" i="2"/>
  <c r="J34" i="2" s="1"/>
  <c r="J24" i="2" s="1"/>
  <c r="J26" i="2" s="1"/>
  <c r="K22" i="2"/>
  <c r="K34" i="2" l="1"/>
  <c r="K24" i="2" s="1"/>
  <c r="L34" i="2"/>
  <c r="L24" i="2" s="1"/>
  <c r="K26" i="2" l="1"/>
  <c r="L26" i="2"/>
</calcChain>
</file>

<file path=xl/comments1.xml><?xml version="1.0" encoding="utf-8"?>
<comments xmlns="http://schemas.openxmlformats.org/spreadsheetml/2006/main">
  <authors>
    <author>Ingrid Helene Magnussen</author>
  </authors>
  <commentList>
    <comment ref="J10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I flg bransjen er kostnader  (pumpe og installasjonskostander) på ca 25000, inkl mva</t>
        </r>
      </text>
    </comment>
    <comment ref="K10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I flg bransjen er kostnader  (pumpe og installasjonskostander) på ca 55-60000, inkl mva</t>
        </r>
      </text>
    </comment>
    <comment ref="L10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I flg bransjen er kostnader  (pumpe og installasjonskostander) på ca 90-100000 inkl mva</t>
        </r>
      </text>
    </comment>
    <comment ref="G16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I flg bransje: 
Iddeelt skal det gjøress service til 1500 hvert 3 år. (inkl mva)</t>
        </r>
      </text>
    </comment>
    <comment ref="H16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I flg bransje: 
Iddeelt skal det gjøress service til 2500 hvert 3 år. (eks mva)</t>
        </r>
      </text>
    </comment>
    <comment ref="I16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I flg bransje: 
Iddeelt skal det gjøress service til 2500 hvert 3 år. (eks mva)
</t>
        </r>
      </text>
    </comment>
    <comment ref="J16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I flg bransje: 
Iddeelt skal det gjøress service til 1500 hvert 3 år. (inkl mva)</t>
        </r>
      </text>
    </comment>
    <comment ref="K16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I flg bransje: 
Iddeelt skal det gjøress service til 2500 hvert 3 år. (eks mva)</t>
        </r>
      </text>
    </comment>
    <comment ref="L16" authorId="0" shapeId="0">
      <text>
        <r>
          <rPr>
            <b/>
            <sz val="8"/>
            <color indexed="81"/>
            <rFont val="Tahoma"/>
            <family val="2"/>
          </rPr>
          <t>Ingrid Helene Magnussen:</t>
        </r>
        <r>
          <rPr>
            <sz val="8"/>
            <color indexed="81"/>
            <rFont val="Tahoma"/>
            <family val="2"/>
          </rPr>
          <t xml:space="preserve">
I flg bransje: 
Iddeelt skal det gjøress service til 2500 hvert 3 år. (eks mva)
</t>
        </r>
      </text>
    </comment>
  </commentList>
</comments>
</file>

<file path=xl/sharedStrings.xml><?xml version="1.0" encoding="utf-8"?>
<sst xmlns="http://schemas.openxmlformats.org/spreadsheetml/2006/main" count="91" uniqueCount="71">
  <si>
    <t>Faste driftskostnader</t>
  </si>
  <si>
    <t>øre/kWh</t>
  </si>
  <si>
    <t>kWh</t>
  </si>
  <si>
    <t>Enhet</t>
  </si>
  <si>
    <t>Ytelse</t>
  </si>
  <si>
    <t xml:space="preserve">Fullasttimer </t>
  </si>
  <si>
    <t>timer/år</t>
  </si>
  <si>
    <t>Investeringskostnader</t>
  </si>
  <si>
    <t xml:space="preserve">   Byggetidsrenter     </t>
  </si>
  <si>
    <t xml:space="preserve">Sum investeringskostnader </t>
  </si>
  <si>
    <t xml:space="preserve">Spesifikt brenselforbruk  </t>
  </si>
  <si>
    <t>Variable kostnader eks brensel</t>
  </si>
  <si>
    <t>Nåverdier</t>
  </si>
  <si>
    <t>øre</t>
  </si>
  <si>
    <t>kWhv</t>
  </si>
  <si>
    <t>Merknad</t>
  </si>
  <si>
    <t>Kilde</t>
  </si>
  <si>
    <t>Faktor for teknologiforbedring 2016 - 2035</t>
  </si>
  <si>
    <t>LCOE 2016</t>
  </si>
  <si>
    <t>LCOE 2035</t>
  </si>
  <si>
    <t>år</t>
  </si>
  <si>
    <t>Byggetid</t>
  </si>
  <si>
    <t>Levetid</t>
  </si>
  <si>
    <t>Degraderingsrate</t>
  </si>
  <si>
    <t>prosent/år</t>
  </si>
  <si>
    <t>enhet</t>
  </si>
  <si>
    <t>prosent</t>
  </si>
  <si>
    <r>
      <t>MW</t>
    </r>
    <r>
      <rPr>
        <b/>
        <sz val="9"/>
        <color theme="0"/>
        <rFont val="Calibri"/>
        <family val="2"/>
        <scheme val="minor"/>
      </rPr>
      <t>v</t>
    </r>
  </si>
  <si>
    <t>Anleggskostnader</t>
  </si>
  <si>
    <t>Installasjon</t>
  </si>
  <si>
    <t>Kraftpris</t>
  </si>
  <si>
    <t>Nettleie</t>
  </si>
  <si>
    <t>El-avgift</t>
  </si>
  <si>
    <t>Brenselskostnader</t>
  </si>
  <si>
    <t>kr/kWv</t>
  </si>
  <si>
    <t>øre/kWhv</t>
  </si>
  <si>
    <t>faktor</t>
  </si>
  <si>
    <t>Inflasjon 2013-2016</t>
  </si>
  <si>
    <t>Kostnad varmepumpeanlegg</t>
  </si>
  <si>
    <t>kr/enhet</t>
  </si>
  <si>
    <t>Kostnad installasjon</t>
  </si>
  <si>
    <t>kr/installsjon</t>
  </si>
  <si>
    <t>El-avgift husholdninger</t>
  </si>
  <si>
    <t>El-avgift lav sats</t>
  </si>
  <si>
    <t>Innfyllingsfelt</t>
  </si>
  <si>
    <t>Utledet</t>
  </si>
  <si>
    <t>Service</t>
  </si>
  <si>
    <t>kr/år</t>
  </si>
  <si>
    <t>kr/kWv /år</t>
  </si>
  <si>
    <t>kWhel/kWhv</t>
  </si>
  <si>
    <t>øre/kWhel</t>
  </si>
  <si>
    <t>Diskonteringsrente 0,1 MW</t>
  </si>
  <si>
    <t>Diskonteringsrente 1 MW</t>
  </si>
  <si>
    <t>Anleggskostnad basert på innspill fra bransjen</t>
  </si>
  <si>
    <t>Innstallasjonskostnad basert på innspill fra bransjen</t>
  </si>
  <si>
    <t>Servicekostnad basert på innspill fra bransjen</t>
  </si>
  <si>
    <t>Beholdt fra kostnadsrapport 2015</t>
  </si>
  <si>
    <t>Hentet fra annet sted</t>
  </si>
  <si>
    <t>SCOP</t>
  </si>
  <si>
    <t>kWh/år</t>
  </si>
  <si>
    <t>Varmeproduksjon per år</t>
  </si>
  <si>
    <t>Produsert varme u. degradering</t>
  </si>
  <si>
    <t>Produsert energi u. degradering</t>
  </si>
  <si>
    <t>Produsert varme m. degradering (over levetid)</t>
  </si>
  <si>
    <t>Produsert energi m. degradering (over levetid)</t>
  </si>
  <si>
    <t>Varmepumpe luft til luft</t>
  </si>
  <si>
    <t>Innspill fra NOVAP. De støtter seg på retningslinjer fra Guidelines knyttet til fornybardirektivet (RES)</t>
  </si>
  <si>
    <t>Basert på retningslinjer fra Guidelines knyttet til fornybardirektivet (RES)</t>
  </si>
  <si>
    <t>Mva</t>
  </si>
  <si>
    <t>eks mva</t>
  </si>
  <si>
    <t>inkl mva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</si>
</sst>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kr&quot;\ #,##0.00;[Red]&quot;kr&quot;\ \-#,##0.00"/>
    <numFmt numFmtId="43" formatCode="_ * #,##0.00_ ;_ * \-#,##0.00_ ;_ * &quot;-&quot;??_ ;_ @_ "/>
    <numFmt numFmtId="164" formatCode="General_)"/>
    <numFmt numFmtId="165" formatCode="0.0"/>
    <numFmt numFmtId="166" formatCode="0.0\ %"/>
    <numFmt numFmtId="167" formatCode="#,##0.0"/>
    <numFmt numFmtId="168" formatCode="_ * #,##0_ ;_ * \-#,##0_ ;_ * &quot;-&quot;??_ ;_ @_ 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2" tint="-9.9978637043366805E-2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3" fillId="0" borderId="0"/>
    <xf numFmtId="43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50">
    <xf numFmtId="0" fontId="0" fillId="0" borderId="0" xfId="0"/>
    <xf numFmtId="164" fontId="4" fillId="0" borderId="3" xfId="1" applyFont="1" applyFill="1" applyBorder="1" applyAlignment="1">
      <alignment horizontal="right"/>
    </xf>
    <xf numFmtId="164" fontId="4" fillId="0" borderId="2" xfId="1" applyFont="1" applyFill="1" applyBorder="1" applyAlignment="1">
      <alignment horizontal="right"/>
    </xf>
    <xf numFmtId="164" fontId="4" fillId="0" borderId="4" xfId="1" applyFont="1" applyFill="1" applyBorder="1"/>
    <xf numFmtId="164" fontId="4" fillId="0" borderId="5" xfId="1" applyFont="1" applyFill="1" applyBorder="1" applyAlignment="1">
      <alignment horizontal="right"/>
    </xf>
    <xf numFmtId="165" fontId="7" fillId="0" borderId="6" xfId="0" applyNumberFormat="1" applyFont="1" applyFill="1" applyBorder="1"/>
    <xf numFmtId="0" fontId="4" fillId="0" borderId="0" xfId="0" applyFont="1"/>
    <xf numFmtId="164" fontId="9" fillId="0" borderId="0" xfId="1" applyFont="1" applyFill="1" applyBorder="1"/>
    <xf numFmtId="164" fontId="9" fillId="0" borderId="0" xfId="1" applyFont="1" applyFill="1" applyBorder="1" applyAlignment="1">
      <alignment horizontal="right"/>
    </xf>
    <xf numFmtId="165" fontId="9" fillId="0" borderId="0" xfId="1" applyNumberFormat="1" applyFont="1" applyFill="1" applyBorder="1"/>
    <xf numFmtId="0" fontId="4" fillId="0" borderId="1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5" fillId="2" borderId="7" xfId="0" applyFont="1" applyFill="1" applyBorder="1"/>
    <xf numFmtId="0" fontId="5" fillId="2" borderId="8" xfId="0" applyFont="1" applyFill="1" applyBorder="1"/>
    <xf numFmtId="2" fontId="4" fillId="0" borderId="0" xfId="0" applyNumberFormat="1" applyFont="1"/>
    <xf numFmtId="0" fontId="2" fillId="0" borderId="0" xfId="0" applyFont="1" applyBorder="1"/>
    <xf numFmtId="0" fontId="0" fillId="4" borderId="0" xfId="0" applyFill="1"/>
    <xf numFmtId="2" fontId="4" fillId="0" borderId="0" xfId="0" applyNumberFormat="1" applyFont="1" applyBorder="1"/>
    <xf numFmtId="166" fontId="2" fillId="0" borderId="0" xfId="3" applyNumberFormat="1" applyFont="1" applyBorder="1"/>
    <xf numFmtId="164" fontId="5" fillId="4" borderId="0" xfId="1" applyFont="1" applyFill="1" applyBorder="1"/>
    <xf numFmtId="165" fontId="7" fillId="0" borderId="9" xfId="0" applyNumberFormat="1" applyFont="1" applyFill="1" applyBorder="1"/>
    <xf numFmtId="0" fontId="2" fillId="0" borderId="0" xfId="0" applyFont="1"/>
    <xf numFmtId="164" fontId="5" fillId="4" borderId="4" xfId="1" applyFont="1" applyFill="1" applyBorder="1"/>
    <xf numFmtId="164" fontId="5" fillId="4" borderId="3" xfId="1" applyFont="1" applyFill="1" applyBorder="1" applyAlignment="1">
      <alignment horizontal="right"/>
    </xf>
    <xf numFmtId="0" fontId="6" fillId="4" borderId="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164" fontId="7" fillId="0" borderId="14" xfId="1" applyFont="1" applyFill="1" applyBorder="1"/>
    <xf numFmtId="167" fontId="4" fillId="3" borderId="2" xfId="1" applyNumberFormat="1" applyFont="1" applyFill="1" applyBorder="1"/>
    <xf numFmtId="167" fontId="4" fillId="3" borderId="15" xfId="1" applyNumberFormat="1" applyFont="1" applyFill="1" applyBorder="1"/>
    <xf numFmtId="164" fontId="4" fillId="3" borderId="2" xfId="1" applyFont="1" applyFill="1" applyBorder="1"/>
    <xf numFmtId="164" fontId="7" fillId="0" borderId="4" xfId="1" applyFont="1" applyFill="1" applyBorder="1"/>
    <xf numFmtId="0" fontId="5" fillId="2" borderId="16" xfId="0" applyFont="1" applyFill="1" applyBorder="1"/>
    <xf numFmtId="164" fontId="4" fillId="0" borderId="4" xfId="1" applyFont="1" applyFill="1" applyBorder="1" applyAlignment="1">
      <alignment horizontal="left" indent="1"/>
    </xf>
    <xf numFmtId="168" fontId="2" fillId="3" borderId="3" xfId="4" applyNumberFormat="1" applyFont="1" applyFill="1" applyBorder="1"/>
    <xf numFmtId="168" fontId="2" fillId="3" borderId="13" xfId="4" applyNumberFormat="1" applyFont="1" applyFill="1" applyBorder="1"/>
    <xf numFmtId="3" fontId="4" fillId="0" borderId="3" xfId="1" applyNumberFormat="1" applyFont="1" applyFill="1" applyBorder="1"/>
    <xf numFmtId="3" fontId="4" fillId="0" borderId="13" xfId="1" applyNumberFormat="1" applyFont="1" applyFill="1" applyBorder="1"/>
    <xf numFmtId="3" fontId="4" fillId="0" borderId="2" xfId="2" applyNumberFormat="1" applyFont="1" applyFill="1" applyBorder="1"/>
    <xf numFmtId="3" fontId="4" fillId="0" borderId="15" xfId="2" applyNumberFormat="1" applyFont="1" applyFill="1" applyBorder="1"/>
    <xf numFmtId="168" fontId="2" fillId="3" borderId="2" xfId="4" applyNumberFormat="1" applyFont="1" applyFill="1" applyBorder="1"/>
    <xf numFmtId="165" fontId="4" fillId="0" borderId="3" xfId="2" applyNumberFormat="1" applyFont="1" applyFill="1" applyBorder="1"/>
    <xf numFmtId="165" fontId="4" fillId="0" borderId="13" xfId="2" applyNumberFormat="1" applyFont="1" applyFill="1" applyBorder="1"/>
    <xf numFmtId="168" fontId="4" fillId="5" borderId="2" xfId="4" applyNumberFormat="1" applyFont="1" applyFill="1" applyBorder="1"/>
    <xf numFmtId="165" fontId="4" fillId="3" borderId="3" xfId="1" applyNumberFormat="1" applyFont="1" applyFill="1" applyBorder="1"/>
    <xf numFmtId="165" fontId="4" fillId="3" borderId="13" xfId="1" applyNumberFormat="1" applyFont="1" applyFill="1" applyBorder="1"/>
    <xf numFmtId="0" fontId="2" fillId="0" borderId="2" xfId="0" applyFont="1" applyBorder="1"/>
    <xf numFmtId="165" fontId="4" fillId="0" borderId="5" xfId="2" applyNumberFormat="1" applyFont="1" applyFill="1" applyBorder="1"/>
    <xf numFmtId="165" fontId="4" fillId="0" borderId="17" xfId="2" applyNumberFormat="1" applyFont="1" applyFill="1" applyBorder="1"/>
    <xf numFmtId="164" fontId="7" fillId="0" borderId="18" xfId="1" applyFont="1" applyFill="1" applyBorder="1"/>
    <xf numFmtId="164" fontId="7" fillId="0" borderId="19" xfId="1" applyFont="1" applyFill="1" applyBorder="1"/>
    <xf numFmtId="164" fontId="4" fillId="0" borderId="14" xfId="1" applyFont="1" applyFill="1" applyBorder="1"/>
    <xf numFmtId="164" fontId="7" fillId="0" borderId="2" xfId="1" applyFont="1" applyFill="1" applyBorder="1" applyAlignment="1">
      <alignment horizontal="right"/>
    </xf>
    <xf numFmtId="165" fontId="4" fillId="3" borderId="2" xfId="1" applyNumberFormat="1" applyFont="1" applyFill="1" applyBorder="1"/>
    <xf numFmtId="164" fontId="7" fillId="0" borderId="22" xfId="1" applyFont="1" applyFill="1" applyBorder="1"/>
    <xf numFmtId="164" fontId="7" fillId="0" borderId="1" xfId="1" applyFont="1" applyFill="1" applyBorder="1"/>
    <xf numFmtId="0" fontId="7" fillId="0" borderId="1" xfId="0" applyFont="1" applyBorder="1" applyAlignment="1">
      <alignment horizontal="right"/>
    </xf>
    <xf numFmtId="0" fontId="7" fillId="0" borderId="2" xfId="0" applyFont="1" applyBorder="1"/>
    <xf numFmtId="0" fontId="7" fillId="0" borderId="1" xfId="0" applyFont="1" applyBorder="1"/>
    <xf numFmtId="164" fontId="4" fillId="0" borderId="1" xfId="0" applyNumberFormat="1" applyFont="1" applyBorder="1"/>
    <xf numFmtId="168" fontId="4" fillId="0" borderId="1" xfId="4" applyNumberFormat="1" applyFont="1" applyBorder="1"/>
    <xf numFmtId="164" fontId="4" fillId="0" borderId="3" xfId="0" applyNumberFormat="1" applyFont="1" applyBorder="1"/>
    <xf numFmtId="168" fontId="4" fillId="0" borderId="3" xfId="4" applyNumberFormat="1" applyFont="1" applyBorder="1"/>
    <xf numFmtId="168" fontId="9" fillId="0" borderId="3" xfId="4" applyNumberFormat="1" applyFont="1" applyBorder="1"/>
    <xf numFmtId="164" fontId="4" fillId="0" borderId="3" xfId="1" applyFont="1" applyFill="1" applyBorder="1"/>
    <xf numFmtId="164" fontId="5" fillId="4" borderId="23" xfId="1" applyFont="1" applyFill="1" applyBorder="1"/>
    <xf numFmtId="164" fontId="5" fillId="4" borderId="24" xfId="1" applyFont="1" applyFill="1" applyBorder="1" applyAlignment="1">
      <alignment horizontal="right"/>
    </xf>
    <xf numFmtId="0" fontId="6" fillId="4" borderId="24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1" fontId="9" fillId="0" borderId="0" xfId="1" applyNumberFormat="1" applyFont="1" applyFill="1" applyBorder="1"/>
    <xf numFmtId="164" fontId="4" fillId="0" borderId="18" xfId="1" applyFont="1" applyFill="1" applyBorder="1" applyAlignment="1">
      <alignment horizontal="left" indent="1"/>
    </xf>
    <xf numFmtId="164" fontId="7" fillId="0" borderId="26" xfId="1" applyFont="1" applyFill="1" applyBorder="1"/>
    <xf numFmtId="1" fontId="2" fillId="3" borderId="1" xfId="0" applyNumberFormat="1" applyFont="1" applyFill="1" applyBorder="1"/>
    <xf numFmtId="164" fontId="4" fillId="0" borderId="1" xfId="1" applyFont="1" applyFill="1" applyBorder="1" applyAlignment="1">
      <alignment horizontal="right"/>
    </xf>
    <xf numFmtId="164" fontId="4" fillId="0" borderId="20" xfId="1" applyFont="1" applyFill="1" applyBorder="1" applyAlignment="1">
      <alignment horizontal="right"/>
    </xf>
    <xf numFmtId="164" fontId="4" fillId="0" borderId="6" xfId="1" applyFont="1" applyFill="1" applyBorder="1" applyAlignment="1">
      <alignment horizontal="right"/>
    </xf>
    <xf numFmtId="1" fontId="2" fillId="3" borderId="27" xfId="0" applyNumberFormat="1" applyFont="1" applyFill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3" fontId="4" fillId="3" borderId="5" xfId="1" applyNumberFormat="1" applyFont="1" applyFill="1" applyBorder="1"/>
    <xf numFmtId="3" fontId="4" fillId="3" borderId="17" xfId="1" applyNumberFormat="1" applyFont="1" applyFill="1" applyBorder="1"/>
    <xf numFmtId="164" fontId="4" fillId="0" borderId="13" xfId="1" applyFont="1" applyFill="1" applyBorder="1"/>
    <xf numFmtId="168" fontId="4" fillId="0" borderId="3" xfId="4" applyNumberFormat="1" applyFont="1" applyFill="1" applyBorder="1"/>
    <xf numFmtId="168" fontId="4" fillId="0" borderId="13" xfId="4" applyNumberFormat="1" applyFont="1" applyFill="1" applyBorder="1"/>
    <xf numFmtId="165" fontId="4" fillId="5" borderId="3" xfId="1" applyNumberFormat="1" applyFont="1" applyFill="1" applyBorder="1"/>
    <xf numFmtId="2" fontId="0" fillId="0" borderId="0" xfId="0" applyNumberFormat="1"/>
    <xf numFmtId="0" fontId="4" fillId="0" borderId="5" xfId="0" applyFont="1" applyBorder="1"/>
    <xf numFmtId="168" fontId="4" fillId="0" borderId="5" xfId="4" applyNumberFormat="1" applyFont="1" applyBorder="1"/>
    <xf numFmtId="8" fontId="0" fillId="0" borderId="0" xfId="0" applyNumberFormat="1"/>
    <xf numFmtId="0" fontId="9" fillId="0" borderId="3" xfId="0" applyFont="1" applyBorder="1" applyAlignment="1">
      <alignment horizontal="right"/>
    </xf>
    <xf numFmtId="164" fontId="14" fillId="0" borderId="3" xfId="1" applyFont="1" applyFill="1" applyBorder="1"/>
    <xf numFmtId="0" fontId="14" fillId="0" borderId="3" xfId="0" applyFont="1" applyBorder="1" applyAlignment="1">
      <alignment horizontal="right"/>
    </xf>
    <xf numFmtId="3" fontId="14" fillId="0" borderId="3" xfId="4" applyNumberFormat="1" applyFont="1" applyFill="1" applyBorder="1"/>
    <xf numFmtId="0" fontId="14" fillId="0" borderId="3" xfId="0" applyFont="1" applyBorder="1"/>
    <xf numFmtId="3" fontId="14" fillId="0" borderId="3" xfId="4" applyNumberFormat="1" applyFont="1" applyBorder="1"/>
    <xf numFmtId="0" fontId="14" fillId="0" borderId="5" xfId="0" applyFont="1" applyBorder="1"/>
    <xf numFmtId="0" fontId="14" fillId="0" borderId="5" xfId="0" applyFont="1" applyFill="1" applyBorder="1" applyAlignment="1">
      <alignment horizontal="right"/>
    </xf>
    <xf numFmtId="3" fontId="14" fillId="0" borderId="5" xfId="4" applyNumberFormat="1" applyFont="1" applyBorder="1"/>
    <xf numFmtId="164" fontId="9" fillId="0" borderId="3" xfId="0" applyNumberFormat="1" applyFont="1" applyBorder="1"/>
    <xf numFmtId="0" fontId="15" fillId="0" borderId="0" xfId="0" applyFont="1"/>
    <xf numFmtId="165" fontId="7" fillId="0" borderId="20" xfId="0" applyNumberFormat="1" applyFont="1" applyFill="1" applyBorder="1"/>
    <xf numFmtId="165" fontId="7" fillId="0" borderId="21" xfId="0" applyNumberFormat="1" applyFont="1" applyFill="1" applyBorder="1"/>
    <xf numFmtId="9" fontId="2" fillId="0" borderId="0" xfId="0" applyNumberFormat="1" applyFont="1"/>
    <xf numFmtId="164" fontId="4" fillId="3" borderId="15" xfId="1" applyFont="1" applyFill="1" applyBorder="1"/>
    <xf numFmtId="165" fontId="4" fillId="5" borderId="13" xfId="1" applyNumberFormat="1" applyFont="1" applyFill="1" applyBorder="1"/>
    <xf numFmtId="165" fontId="4" fillId="3" borderId="15" xfId="1" applyNumberFormat="1" applyFont="1" applyFill="1" applyBorder="1"/>
    <xf numFmtId="0" fontId="6" fillId="4" borderId="32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167" fontId="4" fillId="3" borderId="28" xfId="1" applyNumberFormat="1" applyFont="1" applyFill="1" applyBorder="1"/>
    <xf numFmtId="164" fontId="4" fillId="3" borderId="28" xfId="1" applyFont="1" applyFill="1" applyBorder="1"/>
    <xf numFmtId="164" fontId="4" fillId="0" borderId="33" xfId="1" applyFont="1" applyFill="1" applyBorder="1"/>
    <xf numFmtId="168" fontId="2" fillId="3" borderId="33" xfId="4" applyNumberFormat="1" applyFont="1" applyFill="1" applyBorder="1"/>
    <xf numFmtId="168" fontId="4" fillId="0" borderId="33" xfId="4" applyNumberFormat="1" applyFont="1" applyFill="1" applyBorder="1"/>
    <xf numFmtId="3" fontId="4" fillId="0" borderId="33" xfId="1" applyNumberFormat="1" applyFont="1" applyFill="1" applyBorder="1"/>
    <xf numFmtId="3" fontId="4" fillId="0" borderId="28" xfId="2" applyNumberFormat="1" applyFont="1" applyFill="1" applyBorder="1"/>
    <xf numFmtId="1" fontId="2" fillId="3" borderId="29" xfId="0" applyNumberFormat="1" applyFont="1" applyFill="1" applyBorder="1"/>
    <xf numFmtId="3" fontId="4" fillId="3" borderId="34" xfId="1" applyNumberFormat="1" applyFont="1" applyFill="1" applyBorder="1"/>
    <xf numFmtId="165" fontId="4" fillId="0" borderId="33" xfId="2" applyNumberFormat="1" applyFont="1" applyFill="1" applyBorder="1"/>
    <xf numFmtId="165" fontId="4" fillId="5" borderId="33" xfId="1" applyNumberFormat="1" applyFont="1" applyFill="1" applyBorder="1"/>
    <xf numFmtId="165" fontId="4" fillId="0" borderId="34" xfId="2" applyNumberFormat="1" applyFont="1" applyFill="1" applyBorder="1"/>
    <xf numFmtId="165" fontId="4" fillId="3" borderId="33" xfId="1" applyNumberFormat="1" applyFont="1" applyFill="1" applyBorder="1"/>
    <xf numFmtId="165" fontId="7" fillId="0" borderId="35" xfId="0" applyNumberFormat="1" applyFont="1" applyFill="1" applyBorder="1"/>
    <xf numFmtId="165" fontId="4" fillId="3" borderId="28" xfId="1" applyNumberFormat="1" applyFont="1" applyFill="1" applyBorder="1"/>
    <xf numFmtId="165" fontId="7" fillId="0" borderId="36" xfId="0" applyNumberFormat="1" applyFont="1" applyFill="1" applyBorder="1"/>
    <xf numFmtId="0" fontId="6" fillId="4" borderId="2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167" fontId="4" fillId="3" borderId="14" xfId="1" applyNumberFormat="1" applyFont="1" applyFill="1" applyBorder="1"/>
    <xf numFmtId="164" fontId="4" fillId="3" borderId="14" xfId="1" applyFont="1" applyFill="1" applyBorder="1"/>
    <xf numFmtId="168" fontId="2" fillId="3" borderId="4" xfId="4" applyNumberFormat="1" applyFont="1" applyFill="1" applyBorder="1"/>
    <xf numFmtId="168" fontId="4" fillId="0" borderId="4" xfId="4" applyNumberFormat="1" applyFont="1" applyFill="1" applyBorder="1"/>
    <xf numFmtId="3" fontId="4" fillId="0" borderId="4" xfId="1" applyNumberFormat="1" applyFont="1" applyFill="1" applyBorder="1"/>
    <xf numFmtId="3" fontId="4" fillId="0" borderId="14" xfId="2" applyNumberFormat="1" applyFont="1" applyFill="1" applyBorder="1"/>
    <xf numFmtId="1" fontId="2" fillId="3" borderId="18" xfId="0" applyNumberFormat="1" applyFont="1" applyFill="1" applyBorder="1"/>
    <xf numFmtId="3" fontId="4" fillId="3" borderId="26" xfId="1" applyNumberFormat="1" applyFont="1" applyFill="1" applyBorder="1"/>
    <xf numFmtId="165" fontId="4" fillId="0" borderId="4" xfId="2" applyNumberFormat="1" applyFont="1" applyFill="1" applyBorder="1"/>
    <xf numFmtId="165" fontId="4" fillId="5" borderId="4" xfId="1" applyNumberFormat="1" applyFont="1" applyFill="1" applyBorder="1"/>
    <xf numFmtId="165" fontId="4" fillId="0" borderId="26" xfId="2" applyNumberFormat="1" applyFont="1" applyFill="1" applyBorder="1"/>
    <xf numFmtId="165" fontId="4" fillId="3" borderId="4" xfId="1" applyNumberFormat="1" applyFont="1" applyFill="1" applyBorder="1"/>
    <xf numFmtId="165" fontId="7" fillId="0" borderId="19" xfId="0" applyNumberFormat="1" applyFont="1" applyFill="1" applyBorder="1"/>
    <xf numFmtId="165" fontId="4" fillId="3" borderId="14" xfId="1" applyNumberFormat="1" applyFont="1" applyFill="1" applyBorder="1"/>
    <xf numFmtId="165" fontId="7" fillId="0" borderId="22" xfId="0" applyNumberFormat="1" applyFont="1" applyFill="1" applyBorder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31" xfId="0" applyFont="1" applyBorder="1" applyAlignment="1">
      <alignment horizontal="center"/>
    </xf>
  </cellXfs>
  <cellStyles count="5">
    <cellStyle name="Komma" xfId="4" builtinId="3"/>
    <cellStyle name="Normal" xfId="0" builtinId="0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>
        <row r="61">
          <cell r="B61" t="str">
            <v>Kraftpris</v>
          </cell>
          <cell r="D61">
            <v>23</v>
          </cell>
        </row>
        <row r="62">
          <cell r="B62" t="str">
            <v>Nettleie husholdninger</v>
          </cell>
          <cell r="D62">
            <v>27.9</v>
          </cell>
        </row>
        <row r="63">
          <cell r="B63" t="str">
            <v>Nettleie, anlegg over 150 kW</v>
          </cell>
          <cell r="D63">
            <v>21.8</v>
          </cell>
        </row>
      </sheetData>
      <sheetData sheetId="1">
        <row r="8">
          <cell r="M8">
            <v>16.32</v>
          </cell>
        </row>
        <row r="9">
          <cell r="M9">
            <v>0.48</v>
          </cell>
        </row>
      </sheetData>
      <sheetData sheetId="2" refreshError="1"/>
      <sheetData sheetId="3">
        <row r="1">
          <cell r="C1">
            <v>1.07973174366617</v>
          </cell>
        </row>
        <row r="18">
          <cell r="C18">
            <v>0.5</v>
          </cell>
        </row>
        <row r="43">
          <cell r="D43">
            <v>0.06</v>
          </cell>
        </row>
        <row r="44">
          <cell r="C44">
            <v>15</v>
          </cell>
          <cell r="D44">
            <v>0.06</v>
          </cell>
          <cell r="E44">
            <v>1E-3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40"/>
  <sheetViews>
    <sheetView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K29" sqref="K29"/>
    </sheetView>
  </sheetViews>
  <sheetFormatPr baseColWidth="10" defaultRowHeight="15" x14ac:dyDescent="0.25"/>
  <cols>
    <col min="1" max="1" width="24.7109375" customWidth="1"/>
    <col min="2" max="4" width="8.7109375" customWidth="1"/>
    <col min="5" max="5" width="30.7109375" customWidth="1"/>
    <col min="6" max="6" width="10.28515625" customWidth="1"/>
    <col min="7" max="7" width="10.42578125" customWidth="1"/>
    <col min="8" max="9" width="10.7109375" customWidth="1"/>
    <col min="10" max="10" width="10.42578125" customWidth="1"/>
    <col min="11" max="12" width="10.7109375" customWidth="1"/>
    <col min="13" max="13" width="32.28515625" customWidth="1"/>
    <col min="14" max="15" width="10.7109375" customWidth="1"/>
  </cols>
  <sheetData>
    <row r="2" spans="1:14" x14ac:dyDescent="0.25">
      <c r="E2" s="99"/>
    </row>
    <row r="3" spans="1:14" ht="15.75" thickBot="1" x14ac:dyDescent="0.3">
      <c r="G3" s="144" t="s">
        <v>69</v>
      </c>
      <c r="H3" s="145"/>
      <c r="I3" s="146"/>
      <c r="J3" s="147" t="s">
        <v>70</v>
      </c>
      <c r="K3" s="148"/>
      <c r="L3" s="149"/>
    </row>
    <row r="4" spans="1:14" ht="15.75" thickBot="1" x14ac:dyDescent="0.3">
      <c r="A4" s="12"/>
      <c r="B4" s="12" t="s">
        <v>25</v>
      </c>
      <c r="C4" s="13"/>
      <c r="E4" s="141" t="s">
        <v>65</v>
      </c>
      <c r="F4" s="142"/>
      <c r="G4" s="142"/>
      <c r="H4" s="142"/>
      <c r="I4" s="142"/>
      <c r="J4" s="142"/>
      <c r="K4" s="142"/>
      <c r="L4" s="143"/>
      <c r="M4" s="16"/>
      <c r="N4" s="16"/>
    </row>
    <row r="5" spans="1:14" x14ac:dyDescent="0.25">
      <c r="A5" s="12" t="s">
        <v>21</v>
      </c>
      <c r="B5" s="21" t="s">
        <v>20</v>
      </c>
      <c r="C5" s="21">
        <f>'[1]byggetid levetid rente'!$C$18</f>
        <v>0.5</v>
      </c>
      <c r="D5" s="15"/>
      <c r="E5" s="64"/>
      <c r="F5" s="65" t="s">
        <v>3</v>
      </c>
      <c r="G5" s="66"/>
      <c r="H5" s="66"/>
      <c r="I5" s="106"/>
      <c r="J5" s="124"/>
      <c r="K5" s="66"/>
      <c r="L5" s="67"/>
      <c r="M5" s="16"/>
      <c r="N5" s="16"/>
    </row>
    <row r="6" spans="1:14" x14ac:dyDescent="0.25">
      <c r="A6" s="12" t="s">
        <v>22</v>
      </c>
      <c r="B6" s="21" t="s">
        <v>20</v>
      </c>
      <c r="C6" s="15">
        <f>'[1]byggetid levetid rente'!$C$44</f>
        <v>15</v>
      </c>
      <c r="D6" s="15"/>
      <c r="E6" s="22" t="s">
        <v>4</v>
      </c>
      <c r="F6" s="23" t="s">
        <v>27</v>
      </c>
      <c r="G6" s="24">
        <v>3.8E-3</v>
      </c>
      <c r="H6" s="24">
        <v>1.4999999999999999E-2</v>
      </c>
      <c r="I6" s="107">
        <v>3.5000000000000003E-2</v>
      </c>
      <c r="J6" s="125">
        <v>3.8E-3</v>
      </c>
      <c r="K6" s="24">
        <v>1.4999999999999999E-2</v>
      </c>
      <c r="L6" s="25">
        <v>3.5000000000000003E-2</v>
      </c>
      <c r="M6" s="19" t="s">
        <v>16</v>
      </c>
      <c r="N6" s="19" t="s">
        <v>15</v>
      </c>
    </row>
    <row r="7" spans="1:14" x14ac:dyDescent="0.25">
      <c r="A7" s="12" t="s">
        <v>51</v>
      </c>
      <c r="B7" s="21" t="s">
        <v>24</v>
      </c>
      <c r="C7" s="18">
        <f>'[1]byggetid levetid rente'!$D$43</f>
        <v>0.06</v>
      </c>
      <c r="D7" s="15"/>
      <c r="E7" s="26" t="s">
        <v>58</v>
      </c>
      <c r="F7" s="76"/>
      <c r="G7" s="27">
        <v>2.5</v>
      </c>
      <c r="H7" s="27">
        <v>2.5</v>
      </c>
      <c r="I7" s="108">
        <v>2.5</v>
      </c>
      <c r="J7" s="126">
        <v>2.5</v>
      </c>
      <c r="K7" s="27">
        <v>2.5</v>
      </c>
      <c r="L7" s="28">
        <v>2.5</v>
      </c>
      <c r="M7" t="s">
        <v>66</v>
      </c>
    </row>
    <row r="8" spans="1:14" x14ac:dyDescent="0.25">
      <c r="A8" s="12" t="s">
        <v>52</v>
      </c>
      <c r="B8" s="21" t="s">
        <v>24</v>
      </c>
      <c r="C8" s="18">
        <f>'[1]byggetid levetid rente'!$D$44</f>
        <v>0.06</v>
      </c>
      <c r="D8" s="6"/>
      <c r="E8" s="26" t="s">
        <v>5</v>
      </c>
      <c r="F8" s="2" t="s">
        <v>6</v>
      </c>
      <c r="G8" s="29">
        <v>1970</v>
      </c>
      <c r="H8" s="29">
        <v>1970</v>
      </c>
      <c r="I8" s="109">
        <v>1970</v>
      </c>
      <c r="J8" s="127">
        <v>1970</v>
      </c>
      <c r="K8" s="29">
        <v>1970</v>
      </c>
      <c r="L8" s="103">
        <v>1970</v>
      </c>
      <c r="M8" t="s">
        <v>67</v>
      </c>
    </row>
    <row r="9" spans="1:14" x14ac:dyDescent="0.25">
      <c r="A9" s="12" t="s">
        <v>23</v>
      </c>
      <c r="B9" s="6" t="s">
        <v>26</v>
      </c>
      <c r="C9" s="18">
        <f>'[1]byggetid levetid rente'!$E$44</f>
        <v>1E-3</v>
      </c>
      <c r="D9" s="6"/>
      <c r="E9" s="30" t="s">
        <v>7</v>
      </c>
      <c r="F9" s="1"/>
      <c r="G9" s="63"/>
      <c r="H9" s="63"/>
      <c r="I9" s="110"/>
      <c r="J9" s="3"/>
      <c r="K9" s="63"/>
      <c r="L9" s="81"/>
    </row>
    <row r="10" spans="1:14" x14ac:dyDescent="0.25">
      <c r="A10" s="12" t="str">
        <f>'[1]Brennverdier og priser'!$B$61</f>
        <v>Kraftpris</v>
      </c>
      <c r="B10" s="6" t="s">
        <v>1</v>
      </c>
      <c r="C10" s="17">
        <f>'[1]Brennverdier og priser'!$D$61</f>
        <v>23</v>
      </c>
      <c r="D10" s="6"/>
      <c r="E10" s="32" t="s">
        <v>38</v>
      </c>
      <c r="F10" s="77" t="s">
        <v>39</v>
      </c>
      <c r="G10" s="33">
        <f>J10/((1+$C$16)/1)</f>
        <v>17600</v>
      </c>
      <c r="H10" s="33">
        <f t="shared" ref="H10:I11" si="0">K10/((1+$C$16)/1)</f>
        <v>42400</v>
      </c>
      <c r="I10" s="111">
        <f t="shared" si="0"/>
        <v>64000</v>
      </c>
      <c r="J10" s="128">
        <v>22000</v>
      </c>
      <c r="K10" s="33">
        <v>53000</v>
      </c>
      <c r="L10" s="34">
        <v>80000</v>
      </c>
      <c r="M10" t="s">
        <v>53</v>
      </c>
    </row>
    <row r="11" spans="1:14" x14ac:dyDescent="0.25">
      <c r="A11" s="31" t="str">
        <f>'[1]Brennverdier og priser'!$B$62</f>
        <v>Nettleie husholdninger</v>
      </c>
      <c r="B11" s="6" t="s">
        <v>1</v>
      </c>
      <c r="C11" s="17">
        <f>'[1]Brennverdier og priser'!$D$62</f>
        <v>27.9</v>
      </c>
      <c r="D11" s="6"/>
      <c r="E11" s="32" t="s">
        <v>40</v>
      </c>
      <c r="F11" s="77" t="s">
        <v>41</v>
      </c>
      <c r="G11" s="33">
        <f>J11/((1+$C$16)/1)</f>
        <v>2400</v>
      </c>
      <c r="H11" s="33">
        <f t="shared" si="0"/>
        <v>3200</v>
      </c>
      <c r="I11" s="111">
        <f t="shared" si="0"/>
        <v>8000</v>
      </c>
      <c r="J11" s="128">
        <v>3000</v>
      </c>
      <c r="K11" s="33">
        <v>4000</v>
      </c>
      <c r="L11" s="34">
        <v>10000</v>
      </c>
      <c r="M11" t="s">
        <v>54</v>
      </c>
    </row>
    <row r="12" spans="1:14" x14ac:dyDescent="0.25">
      <c r="A12" s="31" t="str">
        <f>'[1]Brennverdier og priser'!$B$63</f>
        <v>Nettleie, anlegg over 150 kW</v>
      </c>
      <c r="B12" s="6" t="s">
        <v>1</v>
      </c>
      <c r="C12" s="17">
        <f>'[1]Brennverdier og priser'!$D$63</f>
        <v>21.8</v>
      </c>
      <c r="D12" s="6"/>
      <c r="E12" s="32" t="s">
        <v>28</v>
      </c>
      <c r="F12" s="1" t="s">
        <v>34</v>
      </c>
      <c r="G12" s="82">
        <f t="shared" ref="G12:I12" si="1">G10/(G$6*1000)</f>
        <v>4631.5789473684217</v>
      </c>
      <c r="H12" s="82">
        <f t="shared" si="1"/>
        <v>2826.6666666666665</v>
      </c>
      <c r="I12" s="112">
        <f t="shared" si="1"/>
        <v>1828.5714285714287</v>
      </c>
      <c r="J12" s="129">
        <f t="shared" ref="J12:L13" si="2">J10/(J$6*1000)</f>
        <v>5789.4736842105267</v>
      </c>
      <c r="K12" s="82">
        <f t="shared" si="2"/>
        <v>3533.3333333333335</v>
      </c>
      <c r="L12" s="83">
        <f t="shared" si="2"/>
        <v>2285.7142857142858</v>
      </c>
    </row>
    <row r="13" spans="1:14" x14ac:dyDescent="0.25">
      <c r="A13" s="31" t="s">
        <v>42</v>
      </c>
      <c r="B13" s="6" t="s">
        <v>1</v>
      </c>
      <c r="C13" s="17">
        <f>'[1]CO2-avgift, grunnavgift'!$M$8</f>
        <v>16.32</v>
      </c>
      <c r="D13" s="14"/>
      <c r="E13" s="32" t="s">
        <v>29</v>
      </c>
      <c r="F13" s="1" t="s">
        <v>34</v>
      </c>
      <c r="G13" s="82">
        <f t="shared" ref="G13:I13" si="3">G11/(G$6*1000)</f>
        <v>631.57894736842104</v>
      </c>
      <c r="H13" s="82">
        <f t="shared" si="3"/>
        <v>213.33333333333334</v>
      </c>
      <c r="I13" s="112">
        <f t="shared" si="3"/>
        <v>228.57142857142858</v>
      </c>
      <c r="J13" s="129">
        <f t="shared" si="2"/>
        <v>789.47368421052636</v>
      </c>
      <c r="K13" s="82">
        <f t="shared" si="2"/>
        <v>266.66666666666669</v>
      </c>
      <c r="L13" s="83">
        <f t="shared" si="2"/>
        <v>285.71428571428572</v>
      </c>
    </row>
    <row r="14" spans="1:14" x14ac:dyDescent="0.25">
      <c r="A14" s="31" t="s">
        <v>43</v>
      </c>
      <c r="B14" s="6" t="s">
        <v>1</v>
      </c>
      <c r="C14" s="14">
        <f>'[1]CO2-avgift, grunnavgift'!$M$9</f>
        <v>0.48</v>
      </c>
      <c r="D14" s="14"/>
      <c r="E14" s="3" t="s">
        <v>8</v>
      </c>
      <c r="F14" s="1" t="s">
        <v>34</v>
      </c>
      <c r="G14" s="35">
        <f>SUM(G12:G13)*(((1+($C$7))*((1+$C$7)^($C$5)-1))/($C$7*$C$5))-SUM(G12:G13)</f>
        <v>234.52542888105199</v>
      </c>
      <c r="H14" s="35">
        <f t="shared" ref="H14:I14" si="4">SUM(H12:H13)*(((1+($C$7))*((1+$C$7)^($C$5)-1))/($C$7*$C$5))-SUM(H12:H13)</f>
        <v>135.46188772169535</v>
      </c>
      <c r="I14" s="113">
        <f t="shared" si="4"/>
        <v>91.6659390597938</v>
      </c>
      <c r="J14" s="130">
        <f>SUM(J12:J13)*(((1+($C$7))*((1+$C$7)^($C$5)-1))/($C$7*$C$5))-SUM(J12:J13)</f>
        <v>293.15678610131454</v>
      </c>
      <c r="K14" s="35">
        <f t="shared" ref="K14:L14" si="5">SUM(K12:K13)*(((1+($C$7))*((1+$C$7)^($C$5)-1))/($C$7*$C$5))-SUM(K12:K13)</f>
        <v>169.32735965211941</v>
      </c>
      <c r="L14" s="36">
        <f t="shared" si="5"/>
        <v>114.58242382474236</v>
      </c>
    </row>
    <row r="15" spans="1:14" x14ac:dyDescent="0.25">
      <c r="A15" s="12" t="s">
        <v>37</v>
      </c>
      <c r="B15" s="6" t="s">
        <v>36</v>
      </c>
      <c r="C15" s="85">
        <f>'[1]byggetid levetid rente'!$C$1</f>
        <v>1.07973174366617</v>
      </c>
      <c r="D15" s="14"/>
      <c r="E15" s="26" t="s">
        <v>9</v>
      </c>
      <c r="F15" s="2" t="s">
        <v>34</v>
      </c>
      <c r="G15" s="37">
        <f>SUM(G12:G14)</f>
        <v>5497.6833236178945</v>
      </c>
      <c r="H15" s="37">
        <f t="shared" ref="H15:I15" si="6">SUM(H12:H14)</f>
        <v>3175.4618877216953</v>
      </c>
      <c r="I15" s="114">
        <f t="shared" si="6"/>
        <v>2148.8087962026511</v>
      </c>
      <c r="J15" s="131">
        <f>SUM(J12:J14)</f>
        <v>6872.1041545223679</v>
      </c>
      <c r="K15" s="37">
        <f t="shared" ref="K15:L15" si="7">SUM(K12:K14)</f>
        <v>3969.3273596521194</v>
      </c>
      <c r="L15" s="38">
        <f t="shared" si="7"/>
        <v>2686.0109952533139</v>
      </c>
    </row>
    <row r="16" spans="1:14" x14ac:dyDescent="0.25">
      <c r="A16" s="31" t="s">
        <v>68</v>
      </c>
      <c r="B16" s="6" t="s">
        <v>26</v>
      </c>
      <c r="C16" s="102">
        <v>0.25</v>
      </c>
      <c r="E16" s="69" t="s">
        <v>46</v>
      </c>
      <c r="F16" s="78" t="s">
        <v>47</v>
      </c>
      <c r="G16" s="71">
        <f>1500/3</f>
        <v>500</v>
      </c>
      <c r="H16" s="71">
        <f>(2500*1.25)/3</f>
        <v>1041.6666666666667</v>
      </c>
      <c r="I16" s="115">
        <f>(2500*1.25)/3</f>
        <v>1041.6666666666667</v>
      </c>
      <c r="J16" s="132">
        <f>1500/3</f>
        <v>500</v>
      </c>
      <c r="K16" s="71">
        <f>(2500*1.25)/3</f>
        <v>1041.6666666666667</v>
      </c>
      <c r="L16" s="75">
        <f>(2500*1.25)/3</f>
        <v>1041.6666666666667</v>
      </c>
      <c r="M16" t="s">
        <v>55</v>
      </c>
    </row>
    <row r="17" spans="1:13" x14ac:dyDescent="0.25">
      <c r="E17" s="70" t="s">
        <v>0</v>
      </c>
      <c r="F17" s="4" t="s">
        <v>48</v>
      </c>
      <c r="G17" s="79">
        <v>30</v>
      </c>
      <c r="H17" s="79">
        <v>30</v>
      </c>
      <c r="I17" s="116">
        <v>30</v>
      </c>
      <c r="J17" s="133">
        <v>30</v>
      </c>
      <c r="K17" s="79">
        <v>30</v>
      </c>
      <c r="L17" s="80">
        <v>30</v>
      </c>
      <c r="M17" t="s">
        <v>56</v>
      </c>
    </row>
    <row r="18" spans="1:13" x14ac:dyDescent="0.25">
      <c r="A18" s="39" t="s">
        <v>44</v>
      </c>
      <c r="E18" s="32" t="s">
        <v>10</v>
      </c>
      <c r="F18" s="1" t="s">
        <v>49</v>
      </c>
      <c r="G18" s="40">
        <f t="shared" ref="G18:L18" si="8">1/G7</f>
        <v>0.4</v>
      </c>
      <c r="H18" s="40">
        <f t="shared" si="8"/>
        <v>0.4</v>
      </c>
      <c r="I18" s="117">
        <f t="shared" si="8"/>
        <v>0.4</v>
      </c>
      <c r="J18" s="134">
        <f t="shared" si="8"/>
        <v>0.4</v>
      </c>
      <c r="K18" s="40">
        <f t="shared" si="8"/>
        <v>0.4</v>
      </c>
      <c r="L18" s="41">
        <f t="shared" si="8"/>
        <v>0.4</v>
      </c>
    </row>
    <row r="19" spans="1:13" x14ac:dyDescent="0.25">
      <c r="A19" s="42" t="s">
        <v>57</v>
      </c>
      <c r="E19" s="32" t="s">
        <v>30</v>
      </c>
      <c r="F19" s="1" t="s">
        <v>50</v>
      </c>
      <c r="G19" s="84">
        <f>$C$10</f>
        <v>23</v>
      </c>
      <c r="H19" s="84">
        <f t="shared" ref="H19:I19" si="9">$C$10</f>
        <v>23</v>
      </c>
      <c r="I19" s="118">
        <f t="shared" si="9"/>
        <v>23</v>
      </c>
      <c r="J19" s="135">
        <f>$C$10*(1+$C$16)</f>
        <v>28.75</v>
      </c>
      <c r="K19" s="84">
        <f t="shared" ref="K19:L19" si="10">$C$10*(1+$C$16)</f>
        <v>28.75</v>
      </c>
      <c r="L19" s="104">
        <f t="shared" si="10"/>
        <v>28.75</v>
      </c>
    </row>
    <row r="20" spans="1:13" x14ac:dyDescent="0.25">
      <c r="A20" s="45" t="s">
        <v>45</v>
      </c>
      <c r="E20" s="32" t="s">
        <v>31</v>
      </c>
      <c r="F20" s="1" t="s">
        <v>50</v>
      </c>
      <c r="G20" s="84">
        <f>$C$11</f>
        <v>27.9</v>
      </c>
      <c r="H20" s="84">
        <f t="shared" ref="H20:I20" si="11">$C$11</f>
        <v>27.9</v>
      </c>
      <c r="I20" s="118">
        <f t="shared" si="11"/>
        <v>27.9</v>
      </c>
      <c r="J20" s="135">
        <f>$C$11*(1+$C$16)</f>
        <v>34.875</v>
      </c>
      <c r="K20" s="84">
        <f t="shared" ref="K20:L20" si="12">$C$11*(1+$C$16)</f>
        <v>34.875</v>
      </c>
      <c r="L20" s="104">
        <f t="shared" si="12"/>
        <v>34.875</v>
      </c>
    </row>
    <row r="21" spans="1:13" x14ac:dyDescent="0.25">
      <c r="E21" s="32" t="s">
        <v>32</v>
      </c>
      <c r="F21" s="1" t="s">
        <v>50</v>
      </c>
      <c r="G21" s="84">
        <f>$C$13</f>
        <v>16.32</v>
      </c>
      <c r="H21" s="84">
        <f t="shared" ref="H21:I21" si="13">$C$13</f>
        <v>16.32</v>
      </c>
      <c r="I21" s="118">
        <f t="shared" si="13"/>
        <v>16.32</v>
      </c>
      <c r="J21" s="135">
        <f>$C$13*(1+$C$16)</f>
        <v>20.399999999999999</v>
      </c>
      <c r="K21" s="84">
        <f t="shared" ref="K21:L21" si="14">$C$13*(1+$C$16)</f>
        <v>20.399999999999999</v>
      </c>
      <c r="L21" s="104">
        <f t="shared" si="14"/>
        <v>20.399999999999999</v>
      </c>
    </row>
    <row r="22" spans="1:13" x14ac:dyDescent="0.25">
      <c r="E22" s="30" t="s">
        <v>33</v>
      </c>
      <c r="F22" s="1" t="s">
        <v>50</v>
      </c>
      <c r="G22" s="46">
        <f t="shared" ref="G22:L22" si="15">(G20+G19+G21)*G18</f>
        <v>26.888000000000002</v>
      </c>
      <c r="H22" s="46">
        <f t="shared" si="15"/>
        <v>26.888000000000002</v>
      </c>
      <c r="I22" s="119">
        <f t="shared" si="15"/>
        <v>26.888000000000002</v>
      </c>
      <c r="J22" s="136">
        <f t="shared" si="15"/>
        <v>33.610000000000007</v>
      </c>
      <c r="K22" s="46">
        <f t="shared" si="15"/>
        <v>33.610000000000007</v>
      </c>
      <c r="L22" s="47">
        <f t="shared" si="15"/>
        <v>33.610000000000007</v>
      </c>
    </row>
    <row r="23" spans="1:13" ht="15.75" thickBot="1" x14ac:dyDescent="0.3">
      <c r="E23" s="48" t="s">
        <v>11</v>
      </c>
      <c r="F23" s="72" t="s">
        <v>35</v>
      </c>
      <c r="G23" s="43"/>
      <c r="H23" s="43"/>
      <c r="I23" s="120"/>
      <c r="J23" s="137"/>
      <c r="K23" s="43"/>
      <c r="L23" s="44"/>
    </row>
    <row r="24" spans="1:13" x14ac:dyDescent="0.25">
      <c r="E24" s="49" t="s">
        <v>18</v>
      </c>
      <c r="F24" s="73" t="s">
        <v>35</v>
      </c>
      <c r="G24" s="100">
        <f t="shared" ref="G24:L24" si="16">(G31+G32+G33+G34)/G36</f>
        <v>57.518649608666649</v>
      </c>
      <c r="H24" s="100">
        <f t="shared" si="16"/>
        <v>45.302047102126302</v>
      </c>
      <c r="I24" s="121">
        <f t="shared" si="16"/>
        <v>39.901092422557326</v>
      </c>
      <c r="J24" s="138">
        <f t="shared" si="16"/>
        <v>71.515109906932764</v>
      </c>
      <c r="K24" s="100">
        <f t="shared" si="16"/>
        <v>56.244356773757346</v>
      </c>
      <c r="L24" s="101">
        <f t="shared" si="16"/>
        <v>49.493163424296128</v>
      </c>
    </row>
    <row r="25" spans="1:13" x14ac:dyDescent="0.25">
      <c r="E25" s="50" t="s">
        <v>17</v>
      </c>
      <c r="F25" s="51"/>
      <c r="G25" s="52">
        <v>0.8</v>
      </c>
      <c r="H25" s="52">
        <v>0.8</v>
      </c>
      <c r="I25" s="122">
        <v>0.8</v>
      </c>
      <c r="J25" s="139">
        <v>0.8</v>
      </c>
      <c r="K25" s="52">
        <v>0.8</v>
      </c>
      <c r="L25" s="105">
        <v>0.8</v>
      </c>
    </row>
    <row r="26" spans="1:13" ht="15.75" thickBot="1" x14ac:dyDescent="0.3">
      <c r="E26" s="53" t="s">
        <v>19</v>
      </c>
      <c r="F26" s="74" t="s">
        <v>35</v>
      </c>
      <c r="G26" s="5">
        <f>G24*G25</f>
        <v>46.014919686933325</v>
      </c>
      <c r="H26" s="5">
        <f t="shared" ref="H26:I26" si="17">H24*H25</f>
        <v>36.241637681701043</v>
      </c>
      <c r="I26" s="123">
        <f t="shared" si="17"/>
        <v>31.920873938045862</v>
      </c>
      <c r="J26" s="140">
        <f>J24*J25</f>
        <v>57.212087925546214</v>
      </c>
      <c r="K26" s="5">
        <f t="shared" ref="K26:L26" si="18">K24*K25</f>
        <v>44.995485419005881</v>
      </c>
      <c r="L26" s="20">
        <f t="shared" si="18"/>
        <v>39.594530739436905</v>
      </c>
    </row>
    <row r="27" spans="1:13" x14ac:dyDescent="0.25">
      <c r="H27" s="9"/>
      <c r="I27" s="9"/>
      <c r="K27" s="9"/>
      <c r="L27" s="9"/>
    </row>
    <row r="28" spans="1:13" x14ac:dyDescent="0.25">
      <c r="E28" s="7"/>
      <c r="F28" s="8"/>
      <c r="G28" s="68"/>
      <c r="H28" s="68"/>
      <c r="I28" s="68"/>
      <c r="J28" s="68"/>
      <c r="K28" s="68"/>
      <c r="L28" s="68"/>
    </row>
    <row r="29" spans="1:13" x14ac:dyDescent="0.25">
      <c r="E29" s="6"/>
      <c r="F29" s="6"/>
      <c r="G29" s="6"/>
      <c r="H29" s="6"/>
      <c r="I29" s="6"/>
      <c r="J29" s="6"/>
      <c r="K29" s="6"/>
      <c r="L29" s="6"/>
    </row>
    <row r="30" spans="1:13" x14ac:dyDescent="0.25">
      <c r="E30" s="54" t="s">
        <v>12</v>
      </c>
      <c r="F30" s="55"/>
      <c r="G30" s="56"/>
      <c r="H30" s="56"/>
      <c r="I30" s="57"/>
      <c r="J30" s="56"/>
      <c r="K30" s="56"/>
      <c r="L30" s="57"/>
    </row>
    <row r="31" spans="1:13" x14ac:dyDescent="0.25">
      <c r="E31" s="58" t="str">
        <f>E9</f>
        <v>Investeringskostnader</v>
      </c>
      <c r="F31" s="10" t="s">
        <v>13</v>
      </c>
      <c r="G31" s="59">
        <f t="shared" ref="G31:L31" si="19">G15*100*1000*G6</f>
        <v>2089119.6629748</v>
      </c>
      <c r="H31" s="59">
        <f t="shared" si="19"/>
        <v>4763192.8315825425</v>
      </c>
      <c r="I31" s="59">
        <f t="shared" si="19"/>
        <v>7520830.7867092788</v>
      </c>
      <c r="J31" s="59">
        <f t="shared" si="19"/>
        <v>2611399.5787184997</v>
      </c>
      <c r="K31" s="59">
        <f t="shared" si="19"/>
        <v>5953991.0394781791</v>
      </c>
      <c r="L31" s="59">
        <f t="shared" si="19"/>
        <v>9401038.4833865985</v>
      </c>
    </row>
    <row r="32" spans="1:13" x14ac:dyDescent="0.25">
      <c r="E32" s="60" t="str">
        <f>E17</f>
        <v>Faste driftskostnader</v>
      </c>
      <c r="F32" s="11" t="s">
        <v>13</v>
      </c>
      <c r="G32" s="61">
        <f t="shared" ref="G32:L32" si="20">-PV($C$7,$C$6,G17*100*1000*G6)</f>
        <v>110719.63846024736</v>
      </c>
      <c r="H32" s="61">
        <f t="shared" si="20"/>
        <v>437051.20444834477</v>
      </c>
      <c r="I32" s="61">
        <f t="shared" si="20"/>
        <v>1019786.1437128047</v>
      </c>
      <c r="J32" s="61">
        <f t="shared" si="20"/>
        <v>110719.63846024736</v>
      </c>
      <c r="K32" s="61">
        <f t="shared" si="20"/>
        <v>437051.20444834477</v>
      </c>
      <c r="L32" s="61">
        <f t="shared" si="20"/>
        <v>1019786.1437128047</v>
      </c>
    </row>
    <row r="33" spans="5:12" x14ac:dyDescent="0.25">
      <c r="E33" s="60" t="str">
        <f>E23</f>
        <v>Variable kostnader eks brensel</v>
      </c>
      <c r="F33" s="11" t="s">
        <v>13</v>
      </c>
      <c r="G33" s="61">
        <v>0</v>
      </c>
      <c r="H33" s="61">
        <f>-PV($C$7,$C$6,H23*1000*H6*H8)</f>
        <v>0</v>
      </c>
      <c r="I33" s="61">
        <f>-PV($C$7,$C$6,I23*1000*I6*I8)</f>
        <v>0</v>
      </c>
      <c r="J33" s="61">
        <v>0</v>
      </c>
      <c r="K33" s="61">
        <f>-PV($C$7,$C$6,K23*1000*K6*K8)</f>
        <v>0</v>
      </c>
      <c r="L33" s="61">
        <f>-PV($C$7,$C$6,L23*1000*L6*L8)</f>
        <v>0</v>
      </c>
    </row>
    <row r="34" spans="5:12" x14ac:dyDescent="0.25">
      <c r="E34" s="60" t="str">
        <f>E22</f>
        <v>Brenselskostnader</v>
      </c>
      <c r="F34" s="11" t="s">
        <v>13</v>
      </c>
      <c r="G34" s="61">
        <f t="shared" ref="G34:L34" si="21">-PV($C$7,$C$6,G22*1000*G6*G8)</f>
        <v>1954916.1295568957</v>
      </c>
      <c r="H34" s="61">
        <f t="shared" si="21"/>
        <v>7716774.1956193261</v>
      </c>
      <c r="I34" s="61">
        <f t="shared" si="21"/>
        <v>18005806.456445094</v>
      </c>
      <c r="J34" s="61">
        <f t="shared" si="21"/>
        <v>2443645.1619461202</v>
      </c>
      <c r="K34" s="61">
        <f t="shared" si="21"/>
        <v>9645967.7445241585</v>
      </c>
      <c r="L34" s="61">
        <f t="shared" si="21"/>
        <v>22507258.070556376</v>
      </c>
    </row>
    <row r="35" spans="5:12" x14ac:dyDescent="0.25">
      <c r="E35" s="98" t="s">
        <v>63</v>
      </c>
      <c r="F35" s="89" t="s">
        <v>14</v>
      </c>
      <c r="G35" s="62">
        <f>-PV($C$7+$C$9,$C$6,G$6*1000*G$8)</f>
        <v>72233.188005267832</v>
      </c>
      <c r="H35" s="62">
        <f t="shared" ref="H35:I35" si="22">-PV($C$7+$C$9,$C$6,H$6*1000*H$8)</f>
        <v>285131.00528395193</v>
      </c>
      <c r="I35" s="62">
        <f t="shared" si="22"/>
        <v>665305.67899588787</v>
      </c>
      <c r="J35" s="62">
        <f>-PV($C$7+$C$9,$C$6,J$6*1000*J$8)</f>
        <v>72233.188005267832</v>
      </c>
      <c r="K35" s="62">
        <f t="shared" ref="K35:L35" si="23">-PV($C$7+$C$9,$C$6,K$6*1000*K$8)</f>
        <v>285131.00528395193</v>
      </c>
      <c r="L35" s="62">
        <f t="shared" si="23"/>
        <v>665305.67899588787</v>
      </c>
    </row>
    <row r="36" spans="5:12" x14ac:dyDescent="0.25">
      <c r="E36" s="86" t="s">
        <v>64</v>
      </c>
      <c r="F36" s="4" t="s">
        <v>2</v>
      </c>
      <c r="G36" s="87">
        <f t="shared" ref="G36:L36" si="24">G35:G35</f>
        <v>72233.188005267832</v>
      </c>
      <c r="H36" s="87">
        <f t="shared" si="24"/>
        <v>285131.00528395193</v>
      </c>
      <c r="I36" s="87">
        <f t="shared" si="24"/>
        <v>665305.67899588787</v>
      </c>
      <c r="J36" s="87">
        <f t="shared" si="24"/>
        <v>72233.188005267832</v>
      </c>
      <c r="K36" s="87">
        <f t="shared" si="24"/>
        <v>285131.00528395193</v>
      </c>
      <c r="L36" s="87">
        <f t="shared" si="24"/>
        <v>665305.67899588787</v>
      </c>
    </row>
    <row r="37" spans="5:12" x14ac:dyDescent="0.25">
      <c r="E37" s="90" t="s">
        <v>60</v>
      </c>
      <c r="F37" s="91" t="s">
        <v>59</v>
      </c>
      <c r="G37" s="92">
        <f>G6*G8*1000</f>
        <v>7486</v>
      </c>
      <c r="H37" s="92">
        <f t="shared" ref="H37:I37" si="25">H6*H8*1000</f>
        <v>29549.999999999996</v>
      </c>
      <c r="I37" s="92">
        <f t="shared" si="25"/>
        <v>68950</v>
      </c>
      <c r="J37" s="92">
        <f>J6*J8*1000</f>
        <v>7486</v>
      </c>
      <c r="K37" s="92">
        <f t="shared" ref="K37:L37" si="26">K6*K8*1000</f>
        <v>29549.999999999996</v>
      </c>
      <c r="L37" s="92">
        <f t="shared" si="26"/>
        <v>68950</v>
      </c>
    </row>
    <row r="38" spans="5:12" x14ac:dyDescent="0.25">
      <c r="E38" s="93" t="s">
        <v>61</v>
      </c>
      <c r="F38" s="91" t="s">
        <v>2</v>
      </c>
      <c r="G38" s="94">
        <f>-PV($C$7,$C$6,G$6*G$8*1000)</f>
        <v>72705.895922229087</v>
      </c>
      <c r="H38" s="94">
        <f t="shared" ref="H38:I38" si="27">-PV($C$7,$C$6,H$6*H$8*1000)</f>
        <v>286996.95758774638</v>
      </c>
      <c r="I38" s="94">
        <f t="shared" si="27"/>
        <v>669659.56770474161</v>
      </c>
      <c r="J38" s="94">
        <f>-PV($C$7,$C$6,J$6*J$8*1000)</f>
        <v>72705.895922229087</v>
      </c>
      <c r="K38" s="94">
        <f t="shared" ref="K38:L38" si="28">-PV($C$7,$C$6,K$6*K$8*1000)</f>
        <v>286996.95758774638</v>
      </c>
      <c r="L38" s="94">
        <f t="shared" si="28"/>
        <v>669659.56770474161</v>
      </c>
    </row>
    <row r="39" spans="5:12" x14ac:dyDescent="0.25">
      <c r="E39" s="95" t="s">
        <v>62</v>
      </c>
      <c r="F39" s="96" t="s">
        <v>2</v>
      </c>
      <c r="G39" s="97">
        <f>G38:G38</f>
        <v>72705.895922229087</v>
      </c>
      <c r="H39" s="97">
        <f t="shared" ref="H39:I39" si="29">H38:H38</f>
        <v>286996.95758774638</v>
      </c>
      <c r="I39" s="97">
        <f t="shared" si="29"/>
        <v>669659.56770474161</v>
      </c>
      <c r="J39" s="97">
        <f>J38:J38</f>
        <v>72705.895922229087</v>
      </c>
      <c r="K39" s="97">
        <f t="shared" ref="K39:L39" si="30">K38:K38</f>
        <v>286996.95758774638</v>
      </c>
      <c r="L39" s="97">
        <f t="shared" si="30"/>
        <v>669659.56770474161</v>
      </c>
    </row>
    <row r="40" spans="5:12" x14ac:dyDescent="0.25">
      <c r="G40" s="88"/>
      <c r="J40" s="88"/>
    </row>
  </sheetData>
  <mergeCells count="3">
    <mergeCell ref="E4:L4"/>
    <mergeCell ref="G3:I3"/>
    <mergeCell ref="J3:L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2017-03-20T12:18:41Z</dcterms:modified>
</cp:coreProperties>
</file>