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Felles\Prosjekt\2016_Kostnadsrapport\Fase3\Regneark - MÅ IKKE FLYTTES\"/>
    </mc:Choice>
  </mc:AlternateContent>
  <bookViews>
    <workbookView xWindow="0" yWindow="0" windowWidth="28800" windowHeight="12375"/>
  </bookViews>
  <sheets>
    <sheet name="Kostnad 2016" sheetId="2"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2" l="1"/>
  <c r="G12" i="2" s="1"/>
  <c r="H11" i="2"/>
  <c r="G11" i="2"/>
  <c r="H10" i="2"/>
  <c r="H36" i="2"/>
  <c r="G36" i="2"/>
  <c r="G28" i="2"/>
  <c r="H17" i="2"/>
  <c r="G17" i="2"/>
  <c r="H13" i="2"/>
  <c r="G13" i="2"/>
  <c r="H12" i="2"/>
  <c r="O36" i="2" l="1"/>
  <c r="N36" i="2"/>
  <c r="M36" i="2"/>
  <c r="L36" i="2"/>
  <c r="K36" i="2"/>
  <c r="J36" i="2"/>
  <c r="I36" i="2"/>
  <c r="E33" i="2"/>
  <c r="E32" i="2"/>
  <c r="E31" i="2"/>
  <c r="E30" i="2"/>
  <c r="I28" i="2"/>
  <c r="O17" i="2"/>
  <c r="N17" i="2"/>
  <c r="M17" i="2"/>
  <c r="L17" i="2"/>
  <c r="K17" i="2"/>
  <c r="J17" i="2"/>
  <c r="I17" i="2"/>
  <c r="C16" i="2"/>
  <c r="C15" i="2"/>
  <c r="C14" i="2"/>
  <c r="O13" i="2"/>
  <c r="N13" i="2"/>
  <c r="M13" i="2"/>
  <c r="J13" i="2"/>
  <c r="I13" i="2"/>
  <c r="C13" i="2"/>
  <c r="A13" i="2"/>
  <c r="O12" i="2"/>
  <c r="N12" i="2"/>
  <c r="M12" i="2"/>
  <c r="L12" i="2"/>
  <c r="K12" i="2"/>
  <c r="J12" i="2"/>
  <c r="I12" i="2"/>
  <c r="C12" i="2"/>
  <c r="A12" i="2"/>
  <c r="L11" i="2"/>
  <c r="L13" i="2" s="1"/>
  <c r="K11" i="2"/>
  <c r="K13" i="2" s="1"/>
  <c r="C11" i="2"/>
  <c r="A11" i="2"/>
  <c r="C10" i="2"/>
  <c r="C9" i="2"/>
  <c r="C8" i="2"/>
  <c r="C7" i="2"/>
  <c r="C6" i="2"/>
  <c r="C5" i="2"/>
  <c r="H14" i="2" l="1"/>
  <c r="H15" i="2" s="1"/>
  <c r="H19" i="2"/>
  <c r="G19" i="2"/>
  <c r="G18" i="2"/>
  <c r="H18" i="2"/>
  <c r="G20" i="2"/>
  <c r="H20" i="2"/>
  <c r="H32" i="2"/>
  <c r="H37" i="2"/>
  <c r="H38" i="2" s="1"/>
  <c r="G34" i="2"/>
  <c r="G35" i="2" s="1"/>
  <c r="G32" i="2"/>
  <c r="H31" i="2"/>
  <c r="G31" i="2"/>
  <c r="H34" i="2"/>
  <c r="H35" i="2" s="1"/>
  <c r="G37" i="2"/>
  <c r="G38" i="2" s="1"/>
  <c r="G14" i="2"/>
  <c r="G15" i="2" s="1"/>
  <c r="G27" i="2" s="1"/>
  <c r="H30" i="2"/>
  <c r="H27" i="2"/>
  <c r="J19" i="2"/>
  <c r="I19" i="2"/>
  <c r="I18" i="2"/>
  <c r="J18" i="2"/>
  <c r="J20" i="2"/>
  <c r="I20" i="2"/>
  <c r="M20" i="2"/>
  <c r="L18" i="2"/>
  <c r="I14" i="2"/>
  <c r="I15" i="2" s="1"/>
  <c r="I30" i="2" s="1"/>
  <c r="M18" i="2"/>
  <c r="K34" i="2"/>
  <c r="K35" i="2" s="1"/>
  <c r="M19" i="2"/>
  <c r="L19" i="2"/>
  <c r="N19" i="2"/>
  <c r="O19" i="2"/>
  <c r="I34" i="2"/>
  <c r="I35" i="2" s="1"/>
  <c r="J37" i="2"/>
  <c r="J38" i="2" s="1"/>
  <c r="L32" i="2"/>
  <c r="K31" i="2"/>
  <c r="L14" i="2"/>
  <c r="L15" i="2" s="1"/>
  <c r="L30" i="2" s="1"/>
  <c r="J31" i="2"/>
  <c r="O34" i="2"/>
  <c r="O35" i="2" s="1"/>
  <c r="I37" i="2"/>
  <c r="I38" i="2" s="1"/>
  <c r="M14" i="2"/>
  <c r="M15" i="2" s="1"/>
  <c r="M30" i="2" s="1"/>
  <c r="O31" i="2"/>
  <c r="J32" i="2"/>
  <c r="N37" i="2"/>
  <c r="N38" i="2" s="1"/>
  <c r="O20" i="2"/>
  <c r="K20" i="2"/>
  <c r="L20" i="2"/>
  <c r="K19" i="2"/>
  <c r="N20" i="2"/>
  <c r="O37" i="2"/>
  <c r="O38" i="2" s="1"/>
  <c r="K37" i="2"/>
  <c r="K38" i="2" s="1"/>
  <c r="N34" i="2"/>
  <c r="N35" i="2" s="1"/>
  <c r="J34" i="2"/>
  <c r="J35" i="2" s="1"/>
  <c r="O32" i="2"/>
  <c r="K32" i="2"/>
  <c r="L31" i="2"/>
  <c r="O18" i="2"/>
  <c r="K18" i="2"/>
  <c r="J14" i="2"/>
  <c r="J15" i="2" s="1"/>
  <c r="N14" i="2"/>
  <c r="N15" i="2" s="1"/>
  <c r="N30" i="2" s="1"/>
  <c r="N18" i="2"/>
  <c r="M31" i="2"/>
  <c r="M32" i="2"/>
  <c r="L34" i="2"/>
  <c r="L35" i="2" s="1"/>
  <c r="L37" i="2"/>
  <c r="L38" i="2" s="1"/>
  <c r="K14" i="2"/>
  <c r="K15" i="2" s="1"/>
  <c r="O14" i="2"/>
  <c r="O15" i="2" s="1"/>
  <c r="O30" i="2" s="1"/>
  <c r="I31" i="2"/>
  <c r="N31" i="2"/>
  <c r="I32" i="2"/>
  <c r="N32" i="2"/>
  <c r="M34" i="2"/>
  <c r="M35" i="2" s="1"/>
  <c r="M37" i="2"/>
  <c r="M38" i="2" s="1"/>
  <c r="H21" i="2" l="1"/>
  <c r="H33" i="2" s="1"/>
  <c r="H23" i="2" s="1"/>
  <c r="H25" i="2" s="1"/>
  <c r="G30" i="2"/>
  <c r="G21" i="2"/>
  <c r="G33" i="2" s="1"/>
  <c r="O21" i="2"/>
  <c r="O33" i="2" s="1"/>
  <c r="O23" i="2" s="1"/>
  <c r="L21" i="2"/>
  <c r="L33" i="2" s="1"/>
  <c r="L23" i="2" s="1"/>
  <c r="M21" i="2"/>
  <c r="M33" i="2" s="1"/>
  <c r="M23" i="2" s="1"/>
  <c r="J21" i="2"/>
  <c r="J33" i="2" s="1"/>
  <c r="I27" i="2"/>
  <c r="J27" i="2"/>
  <c r="J30" i="2"/>
  <c r="K30" i="2"/>
  <c r="K27" i="2"/>
  <c r="K21" i="2"/>
  <c r="K33" i="2" s="1"/>
  <c r="N21" i="2"/>
  <c r="N33" i="2" s="1"/>
  <c r="N23" i="2" s="1"/>
  <c r="I21" i="2"/>
  <c r="I33" i="2" s="1"/>
  <c r="I23" i="2" s="1"/>
  <c r="G23" i="2" l="1"/>
  <c r="G25" i="2" s="1"/>
  <c r="K23" i="2"/>
  <c r="K25" i="2" s="1"/>
  <c r="J23" i="2"/>
  <c r="J25" i="2" s="1"/>
  <c r="N25" i="2"/>
  <c r="I25" i="2"/>
  <c r="O25" i="2"/>
  <c r="L25" i="2"/>
  <c r="M25" i="2"/>
</calcChain>
</file>

<file path=xl/comments1.xml><?xml version="1.0" encoding="utf-8"?>
<comments xmlns="http://schemas.openxmlformats.org/spreadsheetml/2006/main">
  <authors>
    <author>Fonneløp Jon Erling</author>
    <author>Ingrid Helene Magnussen</author>
  </authors>
  <commentList>
    <comment ref="K5" authorId="0" shapeId="0">
      <text>
        <r>
          <rPr>
            <b/>
            <sz val="9"/>
            <color indexed="81"/>
            <rFont val="Tahoma"/>
            <family val="2"/>
          </rPr>
          <t>Fonneløp Jon Erling:</t>
        </r>
        <r>
          <rPr>
            <sz val="9"/>
            <color indexed="81"/>
            <rFont val="Tahoma"/>
            <family val="2"/>
          </rPr>
          <t xml:space="preserve">
beste teknologi er valtg - derav høy pris og høy SCOP</t>
        </r>
      </text>
    </comment>
    <comment ref="L5" authorId="0" shapeId="0">
      <text>
        <r>
          <rPr>
            <b/>
            <sz val="9"/>
            <color indexed="81"/>
            <rFont val="Tahoma"/>
            <family val="2"/>
          </rPr>
          <t>Fonneløp Jon Erling:</t>
        </r>
        <r>
          <rPr>
            <sz val="9"/>
            <color indexed="81"/>
            <rFont val="Tahoma"/>
            <family val="2"/>
          </rPr>
          <t xml:space="preserve">
beste tteknologi er valgt - derav høy pris og høy SCOP</t>
        </r>
      </text>
    </comment>
    <comment ref="K6" authorId="0" shapeId="0">
      <text>
        <r>
          <rPr>
            <b/>
            <sz val="9"/>
            <color indexed="81"/>
            <rFont val="Tahoma"/>
            <family val="2"/>
          </rPr>
          <t>Fonneløp Jon Erling:</t>
        </r>
        <r>
          <rPr>
            <sz val="9"/>
            <color indexed="81"/>
            <rFont val="Tahoma"/>
            <family val="2"/>
          </rPr>
          <t xml:space="preserve">
CO2 arbeidsmedium</t>
        </r>
      </text>
    </comment>
    <comment ref="L6" authorId="0" shapeId="0">
      <text>
        <r>
          <rPr>
            <b/>
            <sz val="9"/>
            <color indexed="81"/>
            <rFont val="Tahoma"/>
            <family val="2"/>
          </rPr>
          <t>Fonneløp Jon Erling:</t>
        </r>
        <r>
          <rPr>
            <sz val="9"/>
            <color indexed="81"/>
            <rFont val="Tahoma"/>
            <family val="2"/>
          </rPr>
          <t xml:space="preserve">
CO2 arbeidsmedium
</t>
        </r>
      </text>
    </comment>
    <comment ref="K7" authorId="0" shapeId="0">
      <text>
        <r>
          <rPr>
            <b/>
            <sz val="9"/>
            <color indexed="81"/>
            <rFont val="Tahoma"/>
            <family val="2"/>
          </rPr>
          <t>Fonneløp Jon Erling:</t>
        </r>
        <r>
          <rPr>
            <sz val="9"/>
            <color indexed="81"/>
            <rFont val="Tahoma"/>
            <family val="2"/>
          </rPr>
          <t xml:space="preserve">
kilde Eptec. 
Merk at denne VP er lagt inn med høy SCOP. Dette fordii det er forutsatt varmepumpe med CO2 som arbeidsmedium, noe som gir høy SCOP. 
Pumpen har da også høye kostnader. 
</t>
        </r>
      </text>
    </comment>
    <comment ref="L7" authorId="0" shapeId="0">
      <text>
        <r>
          <rPr>
            <b/>
            <sz val="9"/>
            <color indexed="81"/>
            <rFont val="Tahoma"/>
            <family val="2"/>
          </rPr>
          <t>Fonneløp Jon Erling:</t>
        </r>
        <r>
          <rPr>
            <sz val="9"/>
            <color indexed="81"/>
            <rFont val="Tahoma"/>
            <family val="2"/>
          </rPr>
          <t xml:space="preserve">
kilde Eptec. 
Merk at denne VP er lagt inn med høy SCOP. Dette fordii det er forutsatt varmepumpe med CO2 som arbeidsmedium, noe som gir høy SCOP. 
Pumpen har da også høye kostnader. </t>
        </r>
      </text>
    </comment>
    <comment ref="K8" authorId="0" shapeId="0">
      <text>
        <r>
          <rPr>
            <b/>
            <sz val="9"/>
            <color indexed="81"/>
            <rFont val="Tahoma"/>
            <family val="2"/>
          </rPr>
          <t>Fonneløp Jon Erling:</t>
        </r>
        <r>
          <rPr>
            <sz val="9"/>
            <color indexed="81"/>
            <rFont val="Tahoma"/>
            <family val="2"/>
          </rPr>
          <t xml:space="preserve">
Eptec sier tappevannsvp har høy driftstid (5-6000 timer)</t>
        </r>
      </text>
    </comment>
    <comment ref="L8" authorId="0" shapeId="0">
      <text>
        <r>
          <rPr>
            <b/>
            <sz val="9"/>
            <color indexed="81"/>
            <rFont val="Tahoma"/>
            <family val="2"/>
          </rPr>
          <t>Fonneløp Jon Erling:</t>
        </r>
        <r>
          <rPr>
            <sz val="9"/>
            <color indexed="81"/>
            <rFont val="Tahoma"/>
            <family val="2"/>
          </rPr>
          <t xml:space="preserve">
Eptec sier tappevannsvp har høy driftstid (5-6000 timer)</t>
        </r>
      </text>
    </comment>
    <comment ref="K10" authorId="0" shapeId="0">
      <text>
        <r>
          <rPr>
            <b/>
            <sz val="9"/>
            <color indexed="81"/>
            <rFont val="Tahoma"/>
            <family val="2"/>
          </rPr>
          <t>Fonneløp Jon Erling:</t>
        </r>
        <r>
          <rPr>
            <sz val="9"/>
            <color indexed="81"/>
            <rFont val="Tahoma"/>
            <family val="2"/>
          </rPr>
          <t xml:space="preserve">
tall fra Eptec</t>
        </r>
      </text>
    </comment>
    <comment ref="L10" authorId="0" shapeId="0">
      <text>
        <r>
          <rPr>
            <b/>
            <sz val="9"/>
            <color indexed="81"/>
            <rFont val="Tahoma"/>
            <family val="2"/>
          </rPr>
          <t>Fonneløp Jon Erling:</t>
        </r>
        <r>
          <rPr>
            <sz val="9"/>
            <color indexed="81"/>
            <rFont val="Tahoma"/>
            <family val="2"/>
          </rPr>
          <t xml:space="preserve">
tall fra Eptec
</t>
        </r>
      </text>
    </comment>
    <comment ref="N10" authorId="1" shapeId="0">
      <text>
        <r>
          <rPr>
            <b/>
            <sz val="8"/>
            <color indexed="81"/>
            <rFont val="Tahoma"/>
            <family val="2"/>
          </rPr>
          <t>Ingrid Helene Magnussen:</t>
        </r>
        <r>
          <rPr>
            <sz val="8"/>
            <color indexed="81"/>
            <rFont val="Tahoma"/>
            <family val="2"/>
          </rPr>
          <t xml:space="preserve">
Dette er et kunstig tall jeg har satt inn, får å få Anleggkostander i rad 12 og installasjonskostnader i rad 13 til å bli det samme som kostandsrapport 2015. 
I 2015-rapport var det brukt 975 000 til både anlegg og installasjon. 
</t>
        </r>
      </text>
    </comment>
    <comment ref="K11" authorId="0" shapeId="0">
      <text>
        <r>
          <rPr>
            <b/>
            <sz val="9"/>
            <color indexed="81"/>
            <rFont val="Tahoma"/>
            <family val="2"/>
          </rPr>
          <t>Fonneløp Jon Erling:</t>
        </r>
        <r>
          <rPr>
            <sz val="9"/>
            <color indexed="81"/>
            <rFont val="Tahoma"/>
            <family val="2"/>
          </rPr>
          <t xml:space="preserve">
antatt samme installasjonskostnad som kostnadsrapport 2015</t>
        </r>
      </text>
    </comment>
    <comment ref="M11" authorId="0" shapeId="0">
      <text>
        <r>
          <rPr>
            <b/>
            <sz val="9"/>
            <color indexed="81"/>
            <rFont val="Tahoma"/>
            <family val="2"/>
          </rPr>
          <t>Fonneløp Jon Erling:</t>
        </r>
        <r>
          <rPr>
            <sz val="9"/>
            <color indexed="81"/>
            <rFont val="Tahoma"/>
            <family val="2"/>
          </rPr>
          <t xml:space="preserve">
Anslag basert på de øvrige størrelsene</t>
        </r>
      </text>
    </comment>
    <comment ref="N11" authorId="1" shapeId="0">
      <text>
        <r>
          <rPr>
            <b/>
            <sz val="8"/>
            <color indexed="81"/>
            <rFont val="Tahoma"/>
            <family val="2"/>
          </rPr>
          <t>Ingrid Helene Magnussen:</t>
        </r>
        <r>
          <rPr>
            <sz val="8"/>
            <color indexed="81"/>
            <rFont val="Tahoma"/>
            <family val="2"/>
          </rPr>
          <t xml:space="preserve">
Dette er et kunstig tall jeg har satt inn, får å få Anleggkostander i rad 12 og installasjonskostnader i rad 13 til å bli det samme som kostandsrapport 2015. 
I 2015-rapport var det brukt 975 000 til både anlegg og installasjon. 
</t>
        </r>
      </text>
    </comment>
    <comment ref="O11" authorId="0" shapeId="0">
      <text>
        <r>
          <rPr>
            <b/>
            <sz val="9"/>
            <color indexed="81"/>
            <rFont val="Tahoma"/>
            <family val="2"/>
          </rPr>
          <t>Fonneløp Jon Erling:</t>
        </r>
        <r>
          <rPr>
            <sz val="9"/>
            <color indexed="81"/>
            <rFont val="Tahoma"/>
            <family val="2"/>
          </rPr>
          <t xml:space="preserve">
Anslag basert på de øvrige størrelsene
</t>
        </r>
      </text>
    </comment>
  </commentList>
</comments>
</file>

<file path=xl/sharedStrings.xml><?xml version="1.0" encoding="utf-8"?>
<sst xmlns="http://schemas.openxmlformats.org/spreadsheetml/2006/main" count="95" uniqueCount="69">
  <si>
    <t>Faste driftskostnader</t>
  </si>
  <si>
    <t>øre/kWh</t>
  </si>
  <si>
    <t>kWh</t>
  </si>
  <si>
    <t>Enhet</t>
  </si>
  <si>
    <t>Ytelse</t>
  </si>
  <si>
    <t xml:space="preserve">Fullasttimer </t>
  </si>
  <si>
    <t>timer/år</t>
  </si>
  <si>
    <t>Investeringskostnader</t>
  </si>
  <si>
    <t xml:space="preserve">   Byggetidsrenter     </t>
  </si>
  <si>
    <t xml:space="preserve">Sum investeringskostnader </t>
  </si>
  <si>
    <t xml:space="preserve">Spesifikt brenselforbruk  </t>
  </si>
  <si>
    <t>Variable kostnader eks brensel</t>
  </si>
  <si>
    <t>Nåverdier</t>
  </si>
  <si>
    <t>øre</t>
  </si>
  <si>
    <t>kWhv</t>
  </si>
  <si>
    <t>Merknad</t>
  </si>
  <si>
    <t>Kilde</t>
  </si>
  <si>
    <t>Faktor for teknologiforbedring 2016 - 2035</t>
  </si>
  <si>
    <t>LCOE 2016</t>
  </si>
  <si>
    <t>LCOE 2035</t>
  </si>
  <si>
    <t>år</t>
  </si>
  <si>
    <t>Byggetid</t>
  </si>
  <si>
    <t>Levetid</t>
  </si>
  <si>
    <t>Degraderingsrate</t>
  </si>
  <si>
    <t>prosent/år</t>
  </si>
  <si>
    <t>enhet</t>
  </si>
  <si>
    <t>prosent</t>
  </si>
  <si>
    <r>
      <t>MW</t>
    </r>
    <r>
      <rPr>
        <b/>
        <sz val="9"/>
        <color theme="0"/>
        <rFont val="Calibri"/>
        <family val="2"/>
        <scheme val="minor"/>
      </rPr>
      <t>v</t>
    </r>
  </si>
  <si>
    <t>Anleggskostnader</t>
  </si>
  <si>
    <t>Installasjon</t>
  </si>
  <si>
    <t>Kraftpris</t>
  </si>
  <si>
    <t>Nettleie</t>
  </si>
  <si>
    <t>El-avgift</t>
  </si>
  <si>
    <t>Brenselskostnader</t>
  </si>
  <si>
    <t>kr/kWv</t>
  </si>
  <si>
    <r>
      <t>kr/kW</t>
    </r>
    <r>
      <rPr>
        <sz val="9"/>
        <rFont val="Calibri"/>
        <family val="2"/>
        <scheme val="minor"/>
      </rPr>
      <t>v</t>
    </r>
  </si>
  <si>
    <r>
      <t>kr/kW</t>
    </r>
    <r>
      <rPr>
        <sz val="9"/>
        <rFont val="Calibri"/>
        <family val="2"/>
        <scheme val="minor"/>
      </rPr>
      <t>v</t>
    </r>
    <r>
      <rPr>
        <sz val="10"/>
        <rFont val="Calibri"/>
        <family val="2"/>
        <scheme val="minor"/>
      </rPr>
      <t xml:space="preserve"> /år</t>
    </r>
  </si>
  <si>
    <r>
      <t>øre/kWh</t>
    </r>
    <r>
      <rPr>
        <sz val="9"/>
        <rFont val="Calibri"/>
        <family val="2"/>
        <scheme val="minor"/>
      </rPr>
      <t>el</t>
    </r>
  </si>
  <si>
    <t>øre/kWhv</t>
  </si>
  <si>
    <r>
      <t>kWh</t>
    </r>
    <r>
      <rPr>
        <sz val="9"/>
        <rFont val="Calibri"/>
        <family val="2"/>
        <scheme val="minor"/>
      </rPr>
      <t>el</t>
    </r>
    <r>
      <rPr>
        <sz val="10"/>
        <rFont val="Calibri"/>
        <family val="2"/>
        <scheme val="minor"/>
      </rPr>
      <t>/kWh</t>
    </r>
    <r>
      <rPr>
        <sz val="9"/>
        <rFont val="Calibri"/>
        <family val="2"/>
        <scheme val="minor"/>
      </rPr>
      <t>v</t>
    </r>
  </si>
  <si>
    <t>tappevann</t>
  </si>
  <si>
    <t>faktor</t>
  </si>
  <si>
    <t>Inflasjon 2013-2016</t>
  </si>
  <si>
    <t>El-avgift husholdninger</t>
  </si>
  <si>
    <t>El-avgift lav sats</t>
  </si>
  <si>
    <t>Kostnad varmepumpeanlegg</t>
  </si>
  <si>
    <t>Kostnad installasjon</t>
  </si>
  <si>
    <t>kr/enhet</t>
  </si>
  <si>
    <t>kr/installsjon</t>
  </si>
  <si>
    <t>Innfyllingsfelt</t>
  </si>
  <si>
    <t>Utledet</t>
  </si>
  <si>
    <t>Diskonteringsrente 0,1 MW</t>
  </si>
  <si>
    <t>Diskonteringsrente 1 MW</t>
  </si>
  <si>
    <t>Beholdt fra kostnadsrapport 2015</t>
  </si>
  <si>
    <t>Hentet fra annet sted</t>
  </si>
  <si>
    <t>Inkl mva</t>
  </si>
  <si>
    <t>eks mva</t>
  </si>
  <si>
    <t>SCOP</t>
  </si>
  <si>
    <t>Bransjeworkshop og kostnadsrapport 2015</t>
  </si>
  <si>
    <t>Bransjeworkshop, Enova og kostnadsrapport 2015</t>
  </si>
  <si>
    <t>Varmeproduksjon per år</t>
  </si>
  <si>
    <t>kWh/år</t>
  </si>
  <si>
    <t>Produsert varme m. degradering (over levetid)</t>
  </si>
  <si>
    <t>Produsert energi m. degradering (over levetid)</t>
  </si>
  <si>
    <t>Produsert varme u. degradering</t>
  </si>
  <si>
    <t>Produsert energi u. degradering</t>
  </si>
  <si>
    <t>Varmepumpe luft til vann</t>
  </si>
  <si>
    <t>Eks spisslast og akkumulator</t>
  </si>
  <si>
    <t>mva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</si>
</sst>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General_)"/>
    <numFmt numFmtId="165" formatCode="0.0"/>
    <numFmt numFmtId="166" formatCode="0.0\ %"/>
    <numFmt numFmtId="167" formatCode="_ * #,##0.0_ ;_ * \-#,##0.0_ ;_ * &quot;-&quot;??_ ;_ @_ "/>
    <numFmt numFmtId="168" formatCode="_ * #,##0_ ;_ * \-#,##0_ ;_ * &quot;-&quot;??_ ;_ @_ "/>
    <numFmt numFmtId="169" formatCode="#,##0.0"/>
  </numFmts>
  <fonts count="24" x14ac:knownFonts="1">
    <font>
      <sz val="11"/>
      <color theme="1"/>
      <name val="Calibri"/>
      <family val="2"/>
      <scheme val="minor"/>
    </font>
    <font>
      <b/>
      <sz val="11"/>
      <color theme="0"/>
      <name val="Calibri"/>
      <family val="2"/>
      <scheme val="minor"/>
    </font>
    <font>
      <sz val="10"/>
      <color theme="1"/>
      <name val="Calibri"/>
      <family val="2"/>
      <scheme val="minor"/>
    </font>
    <font>
      <sz val="12"/>
      <name val="Helv"/>
    </font>
    <font>
      <sz val="10"/>
      <name val="Calibri"/>
      <family val="2"/>
      <scheme val="minor"/>
    </font>
    <font>
      <b/>
      <sz val="10"/>
      <color theme="0"/>
      <name val="Calibri"/>
      <family val="2"/>
      <scheme val="minor"/>
    </font>
    <font>
      <sz val="10"/>
      <color theme="0"/>
      <name val="Calibri"/>
      <family val="2"/>
      <scheme val="minor"/>
    </font>
    <font>
      <b/>
      <sz val="10"/>
      <name val="Calibri"/>
      <family val="2"/>
      <scheme val="minor"/>
    </font>
    <font>
      <sz val="10"/>
      <name val="Arial"/>
      <family val="2"/>
    </font>
    <font>
      <sz val="10"/>
      <color theme="1" tint="0.499984740745262"/>
      <name val="Calibri"/>
      <family val="2"/>
      <scheme val="minor"/>
    </font>
    <font>
      <sz val="11"/>
      <color theme="1"/>
      <name val="Calibri"/>
      <family val="2"/>
      <scheme val="minor"/>
    </font>
    <font>
      <b/>
      <sz val="9"/>
      <color theme="0"/>
      <name val="Calibri"/>
      <family val="2"/>
      <scheme val="minor"/>
    </font>
    <font>
      <sz val="9"/>
      <name val="Calibri"/>
      <family val="2"/>
      <scheme val="minor"/>
    </font>
    <font>
      <sz val="10"/>
      <color rgb="FFFFFFFF"/>
      <name val="Calibri"/>
      <family val="2"/>
    </font>
    <font>
      <sz val="8"/>
      <color indexed="81"/>
      <name val="Tahoma"/>
      <family val="2"/>
    </font>
    <font>
      <b/>
      <sz val="8"/>
      <color indexed="81"/>
      <name val="Tahoma"/>
      <family val="2"/>
    </font>
    <font>
      <b/>
      <sz val="9"/>
      <color indexed="81"/>
      <name val="Tahoma"/>
      <family val="2"/>
    </font>
    <font>
      <sz val="9"/>
      <color indexed="81"/>
      <name val="Tahoma"/>
      <family val="2"/>
    </font>
    <font>
      <sz val="10"/>
      <color theme="0" tint="-0.499984740745262"/>
      <name val="Calibri"/>
      <family val="2"/>
      <scheme val="minor"/>
    </font>
    <font>
      <sz val="11"/>
      <name val="Calibri"/>
      <family val="2"/>
      <scheme val="minor"/>
    </font>
    <font>
      <sz val="11"/>
      <color theme="0" tint="-0.499984740745262"/>
      <name val="Calibri"/>
      <family val="2"/>
      <scheme val="minor"/>
    </font>
    <font>
      <sz val="11"/>
      <color rgb="FFFF0000"/>
      <name val="Calibri"/>
      <family val="2"/>
      <scheme val="minor"/>
    </font>
    <font>
      <b/>
      <sz val="11"/>
      <color theme="4"/>
      <name val="Calibri"/>
      <family val="2"/>
      <scheme val="minor"/>
    </font>
    <font>
      <sz val="11"/>
      <color rgb="FFC00000"/>
      <name val="Calibri"/>
      <family val="2"/>
      <scheme val="minor"/>
    </font>
  </fonts>
  <fills count="7">
    <fill>
      <patternFill patternType="none"/>
    </fill>
    <fill>
      <patternFill patternType="gray125"/>
    </fill>
    <fill>
      <patternFill patternType="solid">
        <fgColor theme="4"/>
        <bgColor theme="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249977111117893"/>
        <bgColor rgb="FF000000"/>
      </patternFill>
    </fill>
    <fill>
      <patternFill patternType="solid">
        <fgColor theme="9" tint="0.79998168889431442"/>
        <bgColor indexed="64"/>
      </patternFill>
    </fill>
  </fills>
  <borders count="3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theme="4"/>
      </left>
      <right/>
      <top style="thin">
        <color theme="4"/>
      </top>
      <bottom/>
      <diagonal/>
    </border>
    <border>
      <left/>
      <right/>
      <top style="thin">
        <color theme="4"/>
      </top>
      <bottom/>
      <diagonal/>
    </border>
    <border>
      <left style="thin">
        <color theme="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s>
  <cellStyleXfs count="5">
    <xf numFmtId="0" fontId="0" fillId="0" borderId="0"/>
    <xf numFmtId="164" fontId="3" fillId="0" borderId="0"/>
    <xf numFmtId="43" fontId="8" fillId="0" borderId="0" applyFont="0" applyFill="0" applyBorder="0" applyAlignment="0" applyProtection="0"/>
    <xf numFmtId="9" fontId="10" fillId="0" borderId="0" applyFont="0" applyFill="0" applyBorder="0" applyAlignment="0" applyProtection="0"/>
    <xf numFmtId="43" fontId="10" fillId="0" borderId="0" applyFont="0" applyFill="0" applyBorder="0" applyAlignment="0" applyProtection="0"/>
  </cellStyleXfs>
  <cellXfs count="125">
    <xf numFmtId="0" fontId="0" fillId="0" borderId="0" xfId="0"/>
    <xf numFmtId="164" fontId="4" fillId="0" borderId="3" xfId="1" applyFont="1" applyFill="1" applyBorder="1" applyAlignment="1">
      <alignment horizontal="right"/>
    </xf>
    <xf numFmtId="164" fontId="4" fillId="0" borderId="2" xfId="1" applyFont="1" applyFill="1" applyBorder="1" applyAlignment="1">
      <alignment horizontal="right"/>
    </xf>
    <xf numFmtId="164" fontId="4" fillId="0" borderId="4" xfId="1" applyFont="1" applyFill="1" applyBorder="1"/>
    <xf numFmtId="164" fontId="4" fillId="0" borderId="5" xfId="1" applyFont="1" applyFill="1" applyBorder="1" applyAlignment="1">
      <alignment horizontal="right"/>
    </xf>
    <xf numFmtId="165" fontId="7" fillId="0" borderId="6" xfId="0" applyNumberFormat="1" applyFont="1" applyFill="1" applyBorder="1"/>
    <xf numFmtId="0" fontId="4" fillId="0" borderId="0" xfId="0" applyFont="1"/>
    <xf numFmtId="164" fontId="9" fillId="0" borderId="0" xfId="1" applyFont="1" applyFill="1" applyBorder="1"/>
    <xf numFmtId="164" fontId="9" fillId="0" borderId="0" xfId="1" applyFont="1" applyFill="1" applyBorder="1" applyAlignment="1">
      <alignment horizontal="right"/>
    </xf>
    <xf numFmtId="165" fontId="9" fillId="0" borderId="0" xfId="1" applyNumberFormat="1" applyFont="1" applyFill="1" applyBorder="1"/>
    <xf numFmtId="0" fontId="4" fillId="0" borderId="1" xfId="0" applyFont="1" applyBorder="1" applyAlignment="1">
      <alignment horizontal="right"/>
    </xf>
    <xf numFmtId="0" fontId="4" fillId="0" borderId="3" xfId="0" applyFont="1" applyBorder="1" applyAlignment="1">
      <alignment horizontal="right"/>
    </xf>
    <xf numFmtId="0" fontId="5" fillId="2" borderId="7" xfId="0" applyFont="1" applyFill="1" applyBorder="1"/>
    <xf numFmtId="0" fontId="5" fillId="2" borderId="8" xfId="0" applyFont="1" applyFill="1" applyBorder="1"/>
    <xf numFmtId="2" fontId="4" fillId="0" borderId="0" xfId="0" applyNumberFormat="1" applyFont="1"/>
    <xf numFmtId="0" fontId="2" fillId="0" borderId="0" xfId="0" applyFont="1" applyBorder="1"/>
    <xf numFmtId="0" fontId="0" fillId="4" borderId="0" xfId="0" applyFill="1"/>
    <xf numFmtId="166" fontId="2" fillId="0" borderId="0" xfId="3" applyNumberFormat="1" applyFont="1" applyBorder="1"/>
    <xf numFmtId="164" fontId="5" fillId="4" borderId="0" xfId="1" applyFont="1" applyFill="1" applyBorder="1"/>
    <xf numFmtId="164" fontId="12" fillId="0" borderId="3" xfId="1" applyFont="1" applyFill="1" applyBorder="1" applyAlignment="1">
      <alignment horizontal="right"/>
    </xf>
    <xf numFmtId="0" fontId="5" fillId="2" borderId="9" xfId="0" applyFont="1" applyFill="1" applyBorder="1"/>
    <xf numFmtId="0" fontId="2" fillId="0" borderId="0" xfId="0" applyFont="1"/>
    <xf numFmtId="2" fontId="2" fillId="0" borderId="0" xfId="0" applyNumberFormat="1" applyFont="1"/>
    <xf numFmtId="2" fontId="4" fillId="0" borderId="0" xfId="0" applyNumberFormat="1" applyFont="1" applyBorder="1"/>
    <xf numFmtId="164" fontId="5" fillId="4" borderId="4" xfId="1" applyFont="1" applyFill="1" applyBorder="1"/>
    <xf numFmtId="0" fontId="6" fillId="4" borderId="3" xfId="0" applyFont="1" applyFill="1" applyBorder="1" applyAlignment="1">
      <alignment horizontal="center"/>
    </xf>
    <xf numFmtId="164" fontId="7" fillId="0" borderId="10" xfId="1" applyFont="1" applyFill="1" applyBorder="1"/>
    <xf numFmtId="164" fontId="7" fillId="0" borderId="4" xfId="1" applyFont="1" applyFill="1" applyBorder="1"/>
    <xf numFmtId="164" fontId="4" fillId="0" borderId="4" xfId="1" applyFont="1" applyFill="1" applyBorder="1" applyAlignment="1">
      <alignment horizontal="left" indent="1"/>
    </xf>
    <xf numFmtId="0" fontId="2" fillId="0" borderId="3" xfId="0" applyFont="1" applyBorder="1"/>
    <xf numFmtId="168" fontId="2" fillId="3" borderId="3" xfId="4" applyNumberFormat="1" applyFont="1" applyFill="1" applyBorder="1"/>
    <xf numFmtId="3" fontId="4" fillId="0" borderId="3" xfId="1" applyNumberFormat="1" applyFont="1" applyFill="1" applyBorder="1"/>
    <xf numFmtId="164" fontId="7" fillId="0" borderId="12" xfId="1" applyFont="1" applyFill="1" applyBorder="1"/>
    <xf numFmtId="3" fontId="4" fillId="0" borderId="2" xfId="2" applyNumberFormat="1" applyFont="1" applyFill="1" applyBorder="1"/>
    <xf numFmtId="165" fontId="4" fillId="0" borderId="3" xfId="2" applyNumberFormat="1" applyFont="1" applyFill="1" applyBorder="1"/>
    <xf numFmtId="164" fontId="7" fillId="0" borderId="13" xfId="1" applyFont="1" applyFill="1" applyBorder="1"/>
    <xf numFmtId="164" fontId="12" fillId="0" borderId="6" xfId="1" applyFont="1" applyFill="1" applyBorder="1" applyAlignment="1">
      <alignment horizontal="right"/>
    </xf>
    <xf numFmtId="164" fontId="12" fillId="0" borderId="1" xfId="1" applyFont="1" applyFill="1" applyBorder="1" applyAlignment="1">
      <alignment horizontal="right"/>
    </xf>
    <xf numFmtId="164" fontId="12" fillId="0" borderId="11" xfId="1" applyFont="1" applyFill="1" applyBorder="1" applyAlignment="1">
      <alignment horizontal="right"/>
    </xf>
    <xf numFmtId="165" fontId="7" fillId="0" borderId="11" xfId="0" applyNumberFormat="1" applyFont="1" applyFill="1" applyBorder="1"/>
    <xf numFmtId="164" fontId="7" fillId="0" borderId="2" xfId="1" applyFont="1" applyFill="1" applyBorder="1" applyAlignment="1">
      <alignment horizontal="right"/>
    </xf>
    <xf numFmtId="164" fontId="7" fillId="0" borderId="14" xfId="1" applyFont="1" applyFill="1" applyBorder="1"/>
    <xf numFmtId="164" fontId="7" fillId="0" borderId="1" xfId="1" applyFont="1" applyFill="1" applyBorder="1"/>
    <xf numFmtId="0" fontId="7" fillId="0" borderId="1" xfId="0" applyFont="1" applyBorder="1" applyAlignment="1">
      <alignment horizontal="right"/>
    </xf>
    <xf numFmtId="0" fontId="7" fillId="0" borderId="2" xfId="0" applyFont="1" applyBorder="1"/>
    <xf numFmtId="0" fontId="7" fillId="0" borderId="1" xfId="0" applyFont="1" applyBorder="1"/>
    <xf numFmtId="164" fontId="4" fillId="0" borderId="1" xfId="0" applyNumberFormat="1" applyFont="1" applyBorder="1"/>
    <xf numFmtId="164" fontId="4" fillId="0" borderId="3" xfId="0" applyNumberFormat="1" applyFont="1" applyBorder="1"/>
    <xf numFmtId="164" fontId="5" fillId="4" borderId="3" xfId="1" applyFont="1" applyFill="1" applyBorder="1" applyAlignment="1">
      <alignment horizontal="right"/>
    </xf>
    <xf numFmtId="164" fontId="4" fillId="0" borderId="12" xfId="1" applyFont="1" applyFill="1" applyBorder="1"/>
    <xf numFmtId="168" fontId="4" fillId="0" borderId="1" xfId="4" applyNumberFormat="1" applyFont="1" applyBorder="1"/>
    <xf numFmtId="168" fontId="4" fillId="0" borderId="3" xfId="4" applyNumberFormat="1" applyFont="1" applyBorder="1"/>
    <xf numFmtId="168" fontId="9" fillId="0" borderId="3" xfId="4" applyNumberFormat="1" applyFont="1" applyBorder="1"/>
    <xf numFmtId="165" fontId="4" fillId="3" borderId="3" xfId="1" applyNumberFormat="1" applyFont="1" applyFill="1" applyBorder="1"/>
    <xf numFmtId="165" fontId="4" fillId="3" borderId="2" xfId="1" applyNumberFormat="1" applyFont="1" applyFill="1" applyBorder="1"/>
    <xf numFmtId="165" fontId="4" fillId="0" borderId="5" xfId="2" applyNumberFormat="1" applyFont="1" applyFill="1" applyBorder="1"/>
    <xf numFmtId="3" fontId="4" fillId="3" borderId="5" xfId="1" applyNumberFormat="1" applyFont="1" applyFill="1" applyBorder="1"/>
    <xf numFmtId="164" fontId="4" fillId="0" borderId="2" xfId="1" applyFont="1" applyFill="1" applyBorder="1"/>
    <xf numFmtId="0" fontId="0" fillId="0" borderId="2" xfId="0" applyFont="1" applyBorder="1"/>
    <xf numFmtId="164" fontId="4" fillId="3" borderId="2" xfId="1" applyFont="1" applyFill="1" applyBorder="1"/>
    <xf numFmtId="164" fontId="4" fillId="0" borderId="3" xfId="1" applyFont="1" applyFill="1" applyBorder="1"/>
    <xf numFmtId="168" fontId="2" fillId="3" borderId="2" xfId="4" applyNumberFormat="1" applyFont="1" applyFill="1" applyBorder="1"/>
    <xf numFmtId="168" fontId="4" fillId="6" borderId="2" xfId="4" applyNumberFormat="1" applyFont="1" applyFill="1" applyBorder="1"/>
    <xf numFmtId="0" fontId="2" fillId="0" borderId="2" xfId="0" applyFont="1" applyBorder="1"/>
    <xf numFmtId="169" fontId="4" fillId="3" borderId="2" xfId="1" applyNumberFormat="1" applyFont="1" applyFill="1" applyBorder="1"/>
    <xf numFmtId="164" fontId="5" fillId="4" borderId="17" xfId="1" applyFont="1" applyFill="1" applyBorder="1"/>
    <xf numFmtId="164" fontId="5" fillId="4" borderId="18" xfId="1" applyFont="1" applyFill="1" applyBorder="1" applyAlignment="1">
      <alignment horizontal="right"/>
    </xf>
    <xf numFmtId="0" fontId="6" fillId="4" borderId="18" xfId="0" applyFont="1" applyFill="1" applyBorder="1" applyAlignment="1">
      <alignment horizontal="center"/>
    </xf>
    <xf numFmtId="0" fontId="13" fillId="5" borderId="18" xfId="0" applyFont="1" applyFill="1" applyBorder="1" applyAlignment="1">
      <alignment horizontal="center"/>
    </xf>
    <xf numFmtId="168" fontId="4" fillId="0" borderId="3" xfId="4" applyNumberFormat="1" applyFont="1" applyFill="1" applyBorder="1"/>
    <xf numFmtId="165" fontId="4" fillId="6" borderId="3" xfId="1" applyNumberFormat="1" applyFont="1" applyFill="1" applyBorder="1"/>
    <xf numFmtId="0" fontId="0" fillId="0" borderId="0" xfId="0" applyFill="1"/>
    <xf numFmtId="164" fontId="7" fillId="0" borderId="3" xfId="1" applyFont="1" applyFill="1" applyBorder="1"/>
    <xf numFmtId="169" fontId="4" fillId="3" borderId="5" xfId="1" applyNumberFormat="1" applyFont="1" applyFill="1" applyBorder="1"/>
    <xf numFmtId="164" fontId="4" fillId="3" borderId="5" xfId="1" applyFont="1" applyFill="1" applyBorder="1"/>
    <xf numFmtId="3" fontId="4" fillId="0" borderId="5" xfId="2" applyNumberFormat="1" applyFont="1" applyFill="1" applyBorder="1"/>
    <xf numFmtId="165" fontId="7" fillId="0" borderId="19" xfId="0" applyNumberFormat="1" applyFont="1" applyFill="1" applyBorder="1"/>
    <xf numFmtId="0" fontId="6" fillId="4" borderId="5" xfId="0" applyFont="1" applyFill="1" applyBorder="1" applyAlignment="1">
      <alignment horizontal="center"/>
    </xf>
    <xf numFmtId="3" fontId="4" fillId="0" borderId="5" xfId="1" applyNumberFormat="1" applyFont="1" applyFill="1" applyBorder="1"/>
    <xf numFmtId="168" fontId="2" fillId="3" borderId="3" xfId="4" applyNumberFormat="1" applyFont="1" applyFill="1" applyBorder="1" applyAlignment="1">
      <alignment horizontal="right"/>
    </xf>
    <xf numFmtId="164" fontId="9" fillId="0" borderId="3" xfId="0" applyNumberFormat="1" applyFont="1" applyBorder="1"/>
    <xf numFmtId="0" fontId="9" fillId="0" borderId="3" xfId="0" applyFont="1" applyBorder="1" applyAlignment="1">
      <alignment horizontal="right"/>
    </xf>
    <xf numFmtId="0" fontId="4" fillId="0" borderId="5" xfId="0" applyFont="1" applyBorder="1"/>
    <xf numFmtId="168" fontId="4" fillId="0" borderId="5" xfId="4" applyNumberFormat="1" applyFont="1" applyBorder="1"/>
    <xf numFmtId="168" fontId="18" fillId="0" borderId="3" xfId="4" applyNumberFormat="1" applyFont="1" applyFill="1" applyBorder="1"/>
    <xf numFmtId="3" fontId="18" fillId="0" borderId="3" xfId="4" applyNumberFormat="1" applyFont="1" applyBorder="1"/>
    <xf numFmtId="168" fontId="18" fillId="0" borderId="5" xfId="4" applyNumberFormat="1" applyFont="1" applyBorder="1"/>
    <xf numFmtId="0" fontId="19" fillId="0" borderId="0" xfId="0" applyFont="1"/>
    <xf numFmtId="164" fontId="18" fillId="0" borderId="3" xfId="1" applyFont="1" applyFill="1" applyBorder="1"/>
    <xf numFmtId="0" fontId="18" fillId="0" borderId="3" xfId="0" applyFont="1" applyBorder="1" applyAlignment="1">
      <alignment horizontal="right"/>
    </xf>
    <xf numFmtId="0" fontId="20" fillId="0" borderId="0" xfId="0" applyFont="1"/>
    <xf numFmtId="0" fontId="18" fillId="0" borderId="3" xfId="0" applyFont="1" applyBorder="1"/>
    <xf numFmtId="0" fontId="18" fillId="0" borderId="5" xfId="0" applyFont="1" applyBorder="1"/>
    <xf numFmtId="0" fontId="18" fillId="0" borderId="5" xfId="0" applyFont="1" applyFill="1" applyBorder="1" applyAlignment="1">
      <alignment horizontal="right"/>
    </xf>
    <xf numFmtId="0" fontId="21" fillId="0" borderId="0" xfId="0" applyFont="1"/>
    <xf numFmtId="168" fontId="4" fillId="0" borderId="0" xfId="0" applyNumberFormat="1" applyFont="1"/>
    <xf numFmtId="0" fontId="22" fillId="0" borderId="0" xfId="0" applyFont="1"/>
    <xf numFmtId="168" fontId="4" fillId="3" borderId="3" xfId="4" applyNumberFormat="1" applyFont="1" applyFill="1" applyBorder="1"/>
    <xf numFmtId="0" fontId="6" fillId="4" borderId="24" xfId="0" applyFont="1" applyFill="1" applyBorder="1" applyAlignment="1">
      <alignment horizontal="center"/>
    </xf>
    <xf numFmtId="0" fontId="6" fillId="4" borderId="25" xfId="0" applyFont="1" applyFill="1" applyBorder="1" applyAlignment="1">
      <alignment horizontal="center"/>
    </xf>
    <xf numFmtId="169" fontId="4" fillId="3" borderId="25" xfId="1" applyNumberFormat="1" applyFont="1" applyFill="1" applyBorder="1"/>
    <xf numFmtId="164" fontId="4" fillId="3" borderId="25" xfId="1" applyFont="1" applyFill="1" applyBorder="1"/>
    <xf numFmtId="164" fontId="7" fillId="0" borderId="26" xfId="1" applyFont="1" applyFill="1" applyBorder="1"/>
    <xf numFmtId="168" fontId="2" fillId="3" borderId="26" xfId="4" applyNumberFormat="1" applyFont="1" applyFill="1" applyBorder="1"/>
    <xf numFmtId="168" fontId="2" fillId="3" borderId="26" xfId="4" applyNumberFormat="1" applyFont="1" applyFill="1" applyBorder="1" applyAlignment="1">
      <alignment horizontal="right"/>
    </xf>
    <xf numFmtId="168" fontId="4" fillId="0" borderId="26" xfId="4" applyNumberFormat="1" applyFont="1" applyFill="1" applyBorder="1"/>
    <xf numFmtId="3" fontId="4" fillId="0" borderId="25" xfId="1" applyNumberFormat="1" applyFont="1" applyFill="1" applyBorder="1"/>
    <xf numFmtId="3" fontId="4" fillId="0" borderId="25" xfId="2" applyNumberFormat="1" applyFont="1" applyFill="1" applyBorder="1"/>
    <xf numFmtId="3" fontId="4" fillId="3" borderId="25" xfId="1" applyNumberFormat="1" applyFont="1" applyFill="1" applyBorder="1"/>
    <xf numFmtId="167" fontId="4" fillId="0" borderId="26" xfId="4" applyNumberFormat="1" applyFont="1" applyFill="1" applyBorder="1"/>
    <xf numFmtId="167" fontId="4" fillId="6" borderId="26" xfId="4" applyNumberFormat="1" applyFont="1" applyFill="1" applyBorder="1"/>
    <xf numFmtId="167" fontId="4" fillId="0" borderId="25" xfId="4" applyNumberFormat="1" applyFont="1" applyFill="1" applyBorder="1"/>
    <xf numFmtId="165" fontId="4" fillId="3" borderId="26" xfId="1" applyNumberFormat="1" applyFont="1" applyFill="1" applyBorder="1"/>
    <xf numFmtId="165" fontId="7" fillId="0" borderId="27" xfId="0" applyNumberFormat="1" applyFont="1" applyFill="1" applyBorder="1"/>
    <xf numFmtId="165" fontId="4" fillId="3" borderId="28" xfId="1" applyNumberFormat="1" applyFont="1" applyFill="1" applyBorder="1"/>
    <xf numFmtId="165" fontId="7" fillId="0" borderId="29" xfId="0" applyNumberFormat="1" applyFont="1" applyFill="1" applyBorder="1"/>
    <xf numFmtId="9" fontId="2" fillId="0" borderId="0" xfId="0" applyNumberFormat="1" applyFont="1"/>
    <xf numFmtId="0" fontId="1" fillId="4" borderId="15" xfId="0" applyFont="1" applyFill="1" applyBorder="1" applyAlignment="1">
      <alignment horizontal="center"/>
    </xf>
    <xf numFmtId="0" fontId="1" fillId="4" borderId="16" xfId="0" applyFont="1" applyFill="1" applyBorder="1" applyAlignment="1">
      <alignment horizontal="center"/>
    </xf>
    <xf numFmtId="0" fontId="1" fillId="4" borderId="23" xfId="0" applyFont="1" applyFill="1" applyBorder="1" applyAlignment="1">
      <alignment horizontal="center"/>
    </xf>
    <xf numFmtId="0" fontId="23" fillId="0" borderId="20" xfId="0" applyFont="1" applyBorder="1" applyAlignment="1">
      <alignment horizontal="center"/>
    </xf>
    <xf numFmtId="0" fontId="23" fillId="0" borderId="21" xfId="0" applyFont="1"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0" borderId="21" xfId="0" applyBorder="1" applyAlignment="1">
      <alignment horizontal="center"/>
    </xf>
  </cellXfs>
  <cellStyles count="5">
    <cellStyle name="Komma" xfId="4" builtinId="3"/>
    <cellStyle name="Normal" xfId="0" builtinId="0"/>
    <cellStyle name="Normal_Ark1" xfId="1"/>
    <cellStyle name="Prosent" xfId="3" builtinId="5"/>
    <cellStyle name="Tusenskille_Ark1" xfId="2"/>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utsetning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nnverdier og priser"/>
      <sheetName val="CO2-avgift, grunnavgift"/>
      <sheetName val="CO2-kvoter"/>
      <sheetName val="byggetid levetid rente"/>
      <sheetName val="NOX avgift"/>
    </sheetNames>
    <sheetDataSet>
      <sheetData sheetId="0">
        <row r="61">
          <cell r="B61" t="str">
            <v>Kraftpris</v>
          </cell>
          <cell r="D61">
            <v>23</v>
          </cell>
        </row>
        <row r="62">
          <cell r="B62" t="str">
            <v>Nettleie husholdninger</v>
          </cell>
          <cell r="D62">
            <v>27.3</v>
          </cell>
        </row>
        <row r="63">
          <cell r="B63" t="str">
            <v>Nettleie, anlegg over 150 kW</v>
          </cell>
          <cell r="D63">
            <v>21.8</v>
          </cell>
        </row>
      </sheetData>
      <sheetData sheetId="1">
        <row r="8">
          <cell r="M8">
            <v>16.32</v>
          </cell>
        </row>
        <row r="9">
          <cell r="M9">
            <v>0.48</v>
          </cell>
        </row>
      </sheetData>
      <sheetData sheetId="2"/>
      <sheetData sheetId="3">
        <row r="1">
          <cell r="C1">
            <v>1.07973174366617</v>
          </cell>
        </row>
        <row r="18">
          <cell r="C18">
            <v>0.5</v>
          </cell>
        </row>
        <row r="19">
          <cell r="C19">
            <v>1</v>
          </cell>
        </row>
        <row r="43">
          <cell r="D43">
            <v>0.06</v>
          </cell>
        </row>
        <row r="44">
          <cell r="C44">
            <v>15</v>
          </cell>
          <cell r="D44">
            <v>0.06</v>
          </cell>
          <cell r="E44">
            <v>1E-3</v>
          </cell>
        </row>
      </sheetData>
      <sheetData sheetId="4"/>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R41"/>
  <sheetViews>
    <sheetView tabSelected="1" zoomScale="85" zoomScaleNormal="85" workbookViewId="0">
      <selection activeCell="I23" sqref="I23"/>
    </sheetView>
  </sheetViews>
  <sheetFormatPr baseColWidth="10" defaultRowHeight="15" x14ac:dyDescent="0.25"/>
  <cols>
    <col min="1" max="1" width="22.7109375" customWidth="1"/>
    <col min="2" max="4" width="8.7109375" customWidth="1"/>
    <col min="5" max="5" width="30.7109375" customWidth="1"/>
    <col min="6" max="11" width="10.7109375" customWidth="1"/>
    <col min="12" max="12" width="12.28515625" customWidth="1"/>
    <col min="13" max="13" width="13.5703125" customWidth="1"/>
    <col min="14" max="14" width="11.7109375" customWidth="1"/>
    <col min="15" max="15" width="14" customWidth="1"/>
    <col min="16" max="16" width="45" customWidth="1"/>
    <col min="17" max="18" width="10.7109375" customWidth="1"/>
  </cols>
  <sheetData>
    <row r="2" spans="1:17" x14ac:dyDescent="0.25">
      <c r="E2" s="96"/>
    </row>
    <row r="3" spans="1:17" ht="15.75" thickBot="1" x14ac:dyDescent="0.3">
      <c r="G3" s="122" t="s">
        <v>56</v>
      </c>
      <c r="H3" s="124"/>
      <c r="I3" s="120" t="s">
        <v>55</v>
      </c>
      <c r="J3" s="121"/>
      <c r="K3" s="122" t="s">
        <v>56</v>
      </c>
      <c r="L3" s="123"/>
      <c r="M3" s="123"/>
      <c r="N3" s="123"/>
      <c r="O3" s="124"/>
    </row>
    <row r="4" spans="1:17" ht="15.75" thickBot="1" x14ac:dyDescent="0.3">
      <c r="A4" s="12"/>
      <c r="B4" s="12" t="s">
        <v>25</v>
      </c>
      <c r="C4" s="13"/>
      <c r="E4" s="117" t="s">
        <v>66</v>
      </c>
      <c r="F4" s="118"/>
      <c r="G4" s="118"/>
      <c r="H4" s="118"/>
      <c r="I4" s="118"/>
      <c r="J4" s="118"/>
      <c r="K4" s="118"/>
      <c r="L4" s="118"/>
      <c r="M4" s="118"/>
      <c r="N4" s="118"/>
      <c r="O4" s="119"/>
      <c r="P4" s="16"/>
      <c r="Q4" s="16"/>
    </row>
    <row r="5" spans="1:17" x14ac:dyDescent="0.25">
      <c r="A5" s="12" t="s">
        <v>21</v>
      </c>
      <c r="B5" s="21" t="s">
        <v>20</v>
      </c>
      <c r="C5" s="21">
        <f>'[1]byggetid levetid rente'!$C$18</f>
        <v>0.5</v>
      </c>
      <c r="D5" s="15"/>
      <c r="E5" s="65"/>
      <c r="F5" s="66" t="s">
        <v>3</v>
      </c>
      <c r="G5" s="66"/>
      <c r="H5" s="66"/>
      <c r="I5" s="67"/>
      <c r="J5" s="67"/>
      <c r="K5" s="68" t="s">
        <v>40</v>
      </c>
      <c r="L5" s="68" t="s">
        <v>40</v>
      </c>
      <c r="M5" s="68"/>
      <c r="N5" s="67"/>
      <c r="O5" s="98"/>
      <c r="P5" s="16"/>
      <c r="Q5" s="16"/>
    </row>
    <row r="6" spans="1:17" x14ac:dyDescent="0.25">
      <c r="A6" s="12" t="s">
        <v>21</v>
      </c>
      <c r="B6" s="21" t="s">
        <v>20</v>
      </c>
      <c r="C6" s="21">
        <f>'[1]byggetid levetid rente'!$C$19</f>
        <v>1</v>
      </c>
      <c r="D6" s="15"/>
      <c r="E6" s="24" t="s">
        <v>4</v>
      </c>
      <c r="F6" s="48" t="s">
        <v>27</v>
      </c>
      <c r="G6" s="25">
        <v>5.0000000000000001E-3</v>
      </c>
      <c r="H6" s="25">
        <v>0.01</v>
      </c>
      <c r="I6" s="25">
        <v>5.0000000000000001E-3</v>
      </c>
      <c r="J6" s="25">
        <v>0.01</v>
      </c>
      <c r="K6" s="77">
        <v>0.05</v>
      </c>
      <c r="L6" s="77">
        <v>0.15</v>
      </c>
      <c r="M6" s="77">
        <v>0.1</v>
      </c>
      <c r="N6" s="77">
        <v>0.15</v>
      </c>
      <c r="O6" s="99">
        <v>0.3</v>
      </c>
      <c r="P6" s="18" t="s">
        <v>16</v>
      </c>
      <c r="Q6" s="18" t="s">
        <v>15</v>
      </c>
    </row>
    <row r="7" spans="1:17" x14ac:dyDescent="0.25">
      <c r="A7" s="12" t="s">
        <v>22</v>
      </c>
      <c r="B7" s="21" t="s">
        <v>20</v>
      </c>
      <c r="C7" s="15">
        <f>'[1]byggetid levetid rente'!$C$44</f>
        <v>15</v>
      </c>
      <c r="D7" s="15"/>
      <c r="E7" s="32" t="s">
        <v>57</v>
      </c>
      <c r="F7" s="58"/>
      <c r="G7" s="64">
        <v>2.5</v>
      </c>
      <c r="H7" s="64">
        <v>2.7</v>
      </c>
      <c r="I7" s="64">
        <v>2.5</v>
      </c>
      <c r="J7" s="64">
        <v>2.7</v>
      </c>
      <c r="K7" s="73">
        <v>3.6</v>
      </c>
      <c r="L7" s="73">
        <v>3.6</v>
      </c>
      <c r="M7" s="73">
        <v>3</v>
      </c>
      <c r="N7" s="73">
        <v>3</v>
      </c>
      <c r="O7" s="100">
        <v>3</v>
      </c>
      <c r="P7" t="s">
        <v>58</v>
      </c>
    </row>
    <row r="8" spans="1:17" x14ac:dyDescent="0.25">
      <c r="A8" s="12" t="s">
        <v>51</v>
      </c>
      <c r="B8" s="21" t="s">
        <v>24</v>
      </c>
      <c r="C8" s="17">
        <f>'[1]byggetid levetid rente'!$D$43</f>
        <v>0.06</v>
      </c>
      <c r="D8" s="6"/>
      <c r="E8" s="32" t="s">
        <v>5</v>
      </c>
      <c r="F8" s="57" t="s">
        <v>6</v>
      </c>
      <c r="G8" s="59">
        <v>1710</v>
      </c>
      <c r="H8" s="59">
        <v>3200</v>
      </c>
      <c r="I8" s="59">
        <v>1710</v>
      </c>
      <c r="J8" s="59">
        <v>3200</v>
      </c>
      <c r="K8" s="74">
        <v>5000</v>
      </c>
      <c r="L8" s="74">
        <v>5000</v>
      </c>
      <c r="M8" s="74">
        <v>3200</v>
      </c>
      <c r="N8" s="74">
        <v>3200</v>
      </c>
      <c r="O8" s="101">
        <v>3200</v>
      </c>
      <c r="P8" t="s">
        <v>58</v>
      </c>
    </row>
    <row r="9" spans="1:17" x14ac:dyDescent="0.25">
      <c r="A9" s="12" t="s">
        <v>52</v>
      </c>
      <c r="B9" s="21" t="s">
        <v>24</v>
      </c>
      <c r="C9" s="17">
        <f>'[1]byggetid levetid rente'!$D$44</f>
        <v>0.06</v>
      </c>
      <c r="D9" s="6"/>
      <c r="E9" s="27" t="s">
        <v>7</v>
      </c>
      <c r="F9" s="1"/>
      <c r="G9" s="60"/>
      <c r="H9" s="60"/>
      <c r="I9" s="60"/>
      <c r="J9" s="60"/>
      <c r="K9" s="72"/>
      <c r="L9" s="72"/>
      <c r="M9" s="72"/>
      <c r="N9" s="60"/>
      <c r="O9" s="102"/>
    </row>
    <row r="10" spans="1:17" x14ac:dyDescent="0.25">
      <c r="A10" s="12" t="s">
        <v>23</v>
      </c>
      <c r="B10" s="6" t="s">
        <v>26</v>
      </c>
      <c r="C10" s="17">
        <f>'[1]byggetid levetid rente'!$E$44</f>
        <v>1E-3</v>
      </c>
      <c r="D10" s="6"/>
      <c r="E10" s="28" t="s">
        <v>45</v>
      </c>
      <c r="F10" s="29" t="s">
        <v>47</v>
      </c>
      <c r="G10" s="30">
        <f>I10/((1+$C$17)/1)</f>
        <v>52800</v>
      </c>
      <c r="H10" s="30">
        <f t="shared" ref="H10" si="0">J10/((1+$C$17)/1)</f>
        <v>72000</v>
      </c>
      <c r="I10" s="30">
        <v>66000</v>
      </c>
      <c r="J10" s="30">
        <v>90000</v>
      </c>
      <c r="K10" s="30">
        <v>550000</v>
      </c>
      <c r="L10" s="30">
        <v>900000</v>
      </c>
      <c r="M10" s="97">
        <v>400000</v>
      </c>
      <c r="N10" s="30">
        <v>600000</v>
      </c>
      <c r="O10" s="103">
        <v>800000</v>
      </c>
      <c r="P10" t="s">
        <v>59</v>
      </c>
    </row>
    <row r="11" spans="1:17" x14ac:dyDescent="0.25">
      <c r="A11" s="12" t="str">
        <f>'[1]Brennverdier og priser'!$B$61</f>
        <v>Kraftpris</v>
      </c>
      <c r="B11" s="6" t="s">
        <v>1</v>
      </c>
      <c r="C11" s="23">
        <f>'[1]Brennverdier og priser'!$D$61</f>
        <v>23</v>
      </c>
      <c r="D11" s="6"/>
      <c r="E11" s="28" t="s">
        <v>46</v>
      </c>
      <c r="F11" s="29" t="s">
        <v>48</v>
      </c>
      <c r="G11" s="30">
        <f t="shared" ref="G11" si="1">I11/((1+$C$17)/1)</f>
        <v>16000</v>
      </c>
      <c r="H11" s="30">
        <f>J11/((1+$C$17)/1)</f>
        <v>48000</v>
      </c>
      <c r="I11" s="97">
        <v>20000</v>
      </c>
      <c r="J11" s="30">
        <v>60000</v>
      </c>
      <c r="K11" s="30">
        <f>3300*K6*1000</f>
        <v>165000</v>
      </c>
      <c r="L11" s="30">
        <f>3300*L6*1000</f>
        <v>495000</v>
      </c>
      <c r="M11" s="79">
        <v>250000</v>
      </c>
      <c r="N11" s="30">
        <v>375000</v>
      </c>
      <c r="O11" s="104">
        <v>500000</v>
      </c>
      <c r="P11" t="s">
        <v>59</v>
      </c>
    </row>
    <row r="12" spans="1:17" x14ac:dyDescent="0.25">
      <c r="A12" s="20" t="str">
        <f>'[1]Brennverdier og priser'!$B$62</f>
        <v>Nettleie husholdninger</v>
      </c>
      <c r="B12" s="6" t="s">
        <v>1</v>
      </c>
      <c r="C12" s="23">
        <f>'[1]Brennverdier og priser'!$D$62</f>
        <v>27.3</v>
      </c>
      <c r="D12" s="6"/>
      <c r="E12" s="28" t="s">
        <v>28</v>
      </c>
      <c r="F12" s="19" t="s">
        <v>34</v>
      </c>
      <c r="G12" s="69">
        <f t="shared" ref="G12:H12" si="2">G10/(G$6*1000)</f>
        <v>10560</v>
      </c>
      <c r="H12" s="69">
        <f t="shared" si="2"/>
        <v>7200</v>
      </c>
      <c r="I12" s="69">
        <f t="shared" ref="I12:O13" si="3">I10/(I$6*1000)</f>
        <v>13200</v>
      </c>
      <c r="J12" s="69">
        <f t="shared" si="3"/>
        <v>9000</v>
      </c>
      <c r="K12" s="69">
        <f t="shared" si="3"/>
        <v>11000</v>
      </c>
      <c r="L12" s="69">
        <f t="shared" si="3"/>
        <v>6000</v>
      </c>
      <c r="M12" s="69">
        <f t="shared" si="3"/>
        <v>4000</v>
      </c>
      <c r="N12" s="69">
        <f t="shared" si="3"/>
        <v>4000</v>
      </c>
      <c r="O12" s="105">
        <f t="shared" si="3"/>
        <v>2666.6666666666665</v>
      </c>
      <c r="P12" s="71"/>
    </row>
    <row r="13" spans="1:17" x14ac:dyDescent="0.25">
      <c r="A13" s="20" t="str">
        <f>'[1]Brennverdier og priser'!$B$63</f>
        <v>Nettleie, anlegg over 150 kW</v>
      </c>
      <c r="B13" s="6" t="s">
        <v>1</v>
      </c>
      <c r="C13" s="23">
        <f>'[1]Brennverdier og priser'!$D$63</f>
        <v>21.8</v>
      </c>
      <c r="D13" s="14"/>
      <c r="E13" s="28" t="s">
        <v>29</v>
      </c>
      <c r="F13" s="1" t="s">
        <v>34</v>
      </c>
      <c r="G13" s="69">
        <f t="shared" ref="G13:H13" si="4">G11/(G$6*1000)</f>
        <v>3200</v>
      </c>
      <c r="H13" s="69">
        <f t="shared" si="4"/>
        <v>4800</v>
      </c>
      <c r="I13" s="69">
        <f t="shared" si="3"/>
        <v>4000</v>
      </c>
      <c r="J13" s="69">
        <f t="shared" si="3"/>
        <v>6000</v>
      </c>
      <c r="K13" s="69">
        <f t="shared" si="3"/>
        <v>3300</v>
      </c>
      <c r="L13" s="69">
        <f t="shared" si="3"/>
        <v>3300</v>
      </c>
      <c r="M13" s="69">
        <f>M11/(M$6*1000)</f>
        <v>2500</v>
      </c>
      <c r="N13" s="69">
        <f t="shared" si="3"/>
        <v>2500</v>
      </c>
      <c r="O13" s="105">
        <f t="shared" si="3"/>
        <v>1666.6666666666667</v>
      </c>
      <c r="P13" s="71"/>
    </row>
    <row r="14" spans="1:17" x14ac:dyDescent="0.25">
      <c r="A14" s="20" t="s">
        <v>43</v>
      </c>
      <c r="B14" s="6" t="s">
        <v>1</v>
      </c>
      <c r="C14" s="23">
        <f>'[1]CO2-avgift, grunnavgift'!$M$8</f>
        <v>16.32</v>
      </c>
      <c r="D14" s="14"/>
      <c r="E14" s="3" t="s">
        <v>8</v>
      </c>
      <c r="F14" s="19" t="s">
        <v>34</v>
      </c>
      <c r="G14" s="31">
        <f t="shared" ref="G14:H14" si="5">SUM(G12:G13)*(((1+($C$8))*((1+$C$8)^($C$5)-1))/($C$8*$C$5))-SUM(G12:G13)</f>
        <v>613.14328126662258</v>
      </c>
      <c r="H14" s="31">
        <f t="shared" si="5"/>
        <v>534.71797784879891</v>
      </c>
      <c r="I14" s="31">
        <f t="shared" ref="I14:O14" si="6">SUM(I12:I13)*(((1+($C$8))*((1+$C$8)^($C$5)-1))/($C$8*$C$5))-SUM(I12:I13)</f>
        <v>766.42910158327868</v>
      </c>
      <c r="J14" s="31">
        <f t="shared" si="6"/>
        <v>668.39747231099682</v>
      </c>
      <c r="K14" s="31">
        <f t="shared" si="6"/>
        <v>637.20559026981755</v>
      </c>
      <c r="L14" s="31">
        <f t="shared" si="6"/>
        <v>414.40643283281861</v>
      </c>
      <c r="M14" s="31">
        <f t="shared" si="6"/>
        <v>289.6389046680988</v>
      </c>
      <c r="N14" s="78">
        <f t="shared" si="6"/>
        <v>289.6389046680988</v>
      </c>
      <c r="O14" s="106">
        <f t="shared" si="6"/>
        <v>193.09260311206617</v>
      </c>
    </row>
    <row r="15" spans="1:17" x14ac:dyDescent="0.25">
      <c r="A15" s="20" t="s">
        <v>44</v>
      </c>
      <c r="B15" s="6" t="s">
        <v>1</v>
      </c>
      <c r="C15" s="14">
        <f>'[1]CO2-avgift, grunnavgift'!$M$9</f>
        <v>0.48</v>
      </c>
      <c r="D15" s="14"/>
      <c r="E15" s="32" t="s">
        <v>9</v>
      </c>
      <c r="F15" s="2" t="s">
        <v>35</v>
      </c>
      <c r="G15" s="33">
        <f>SUM(G12:G14)</f>
        <v>14373.143281266623</v>
      </c>
      <c r="H15" s="33">
        <f t="shared" ref="H15" si="7">SUM(H12:H14)</f>
        <v>12534.717977848799</v>
      </c>
      <c r="I15" s="33">
        <f>SUM(I12:I14)</f>
        <v>17966.429101583279</v>
      </c>
      <c r="J15" s="33">
        <f t="shared" ref="J15:L15" si="8">SUM(J12:J14)</f>
        <v>15668.397472310997</v>
      </c>
      <c r="K15" s="33">
        <f t="shared" si="8"/>
        <v>14937.205590269818</v>
      </c>
      <c r="L15" s="33">
        <f t="shared" si="8"/>
        <v>9714.4064328328186</v>
      </c>
      <c r="M15" s="33">
        <f>SUM(M12:M14)</f>
        <v>6789.6389046680988</v>
      </c>
      <c r="N15" s="75">
        <f t="shared" ref="N15:O15" si="9">SUM(N12:N14)</f>
        <v>6789.6389046680988</v>
      </c>
      <c r="O15" s="107">
        <f t="shared" si="9"/>
        <v>4526.4259364453992</v>
      </c>
    </row>
    <row r="16" spans="1:17" x14ac:dyDescent="0.25">
      <c r="A16" s="12" t="s">
        <v>42</v>
      </c>
      <c r="B16" s="6" t="s">
        <v>41</v>
      </c>
      <c r="C16" s="22">
        <f>'[1]byggetid levetid rente'!$C$1</f>
        <v>1.07973174366617</v>
      </c>
      <c r="E16" s="32" t="s">
        <v>0</v>
      </c>
      <c r="F16" s="2" t="s">
        <v>36</v>
      </c>
      <c r="G16" s="56">
        <v>40</v>
      </c>
      <c r="H16" s="56">
        <v>40</v>
      </c>
      <c r="I16" s="56">
        <v>40</v>
      </c>
      <c r="J16" s="56">
        <v>40</v>
      </c>
      <c r="K16" s="56">
        <v>30</v>
      </c>
      <c r="L16" s="56">
        <v>30</v>
      </c>
      <c r="M16" s="56">
        <v>30</v>
      </c>
      <c r="N16" s="56">
        <v>40</v>
      </c>
      <c r="O16" s="108">
        <v>30</v>
      </c>
      <c r="P16" t="s">
        <v>53</v>
      </c>
    </row>
    <row r="17" spans="1:16" x14ac:dyDescent="0.25">
      <c r="A17" s="20" t="s">
        <v>68</v>
      </c>
      <c r="B17" s="6" t="s">
        <v>26</v>
      </c>
      <c r="C17" s="116">
        <v>0.25</v>
      </c>
      <c r="E17" s="28" t="s">
        <v>10</v>
      </c>
      <c r="F17" s="1" t="s">
        <v>39</v>
      </c>
      <c r="G17" s="34">
        <f t="shared" ref="G17:H17" si="10">1/G7</f>
        <v>0.4</v>
      </c>
      <c r="H17" s="34">
        <f t="shared" si="10"/>
        <v>0.37037037037037035</v>
      </c>
      <c r="I17" s="34">
        <f t="shared" ref="I17:O17" si="11">1/I7</f>
        <v>0.4</v>
      </c>
      <c r="J17" s="34">
        <f t="shared" si="11"/>
        <v>0.37037037037037035</v>
      </c>
      <c r="K17" s="34">
        <f t="shared" si="11"/>
        <v>0.27777777777777779</v>
      </c>
      <c r="L17" s="34">
        <f t="shared" si="11"/>
        <v>0.27777777777777779</v>
      </c>
      <c r="M17" s="34">
        <f t="shared" si="11"/>
        <v>0.33333333333333331</v>
      </c>
      <c r="N17" s="34">
        <f t="shared" si="11"/>
        <v>0.33333333333333331</v>
      </c>
      <c r="O17" s="109">
        <f t="shared" si="11"/>
        <v>0.33333333333333331</v>
      </c>
    </row>
    <row r="18" spans="1:16" x14ac:dyDescent="0.25">
      <c r="E18" s="28" t="s">
        <v>30</v>
      </c>
      <c r="F18" s="1" t="s">
        <v>37</v>
      </c>
      <c r="G18" s="70">
        <f>$C$11</f>
        <v>23</v>
      </c>
      <c r="H18" s="70">
        <f>$C$11</f>
        <v>23</v>
      </c>
      <c r="I18" s="70">
        <f>$C$11*(1+$C$17)</f>
        <v>28.75</v>
      </c>
      <c r="J18" s="70">
        <f>$C$11*(1+$C$17)</f>
        <v>28.75</v>
      </c>
      <c r="K18" s="70">
        <f t="shared" ref="K18:O18" si="12">$C$11</f>
        <v>23</v>
      </c>
      <c r="L18" s="70">
        <f t="shared" si="12"/>
        <v>23</v>
      </c>
      <c r="M18" s="70">
        <f t="shared" si="12"/>
        <v>23</v>
      </c>
      <c r="N18" s="70">
        <f t="shared" si="12"/>
        <v>23</v>
      </c>
      <c r="O18" s="110">
        <f t="shared" si="12"/>
        <v>23</v>
      </c>
    </row>
    <row r="19" spans="1:16" x14ac:dyDescent="0.25">
      <c r="A19" s="61" t="s">
        <v>49</v>
      </c>
      <c r="E19" s="28" t="s">
        <v>31</v>
      </c>
      <c r="F19" s="1" t="s">
        <v>37</v>
      </c>
      <c r="G19" s="70">
        <f>$C$12</f>
        <v>27.3</v>
      </c>
      <c r="H19" s="70">
        <f>$C$12</f>
        <v>27.3</v>
      </c>
      <c r="I19" s="70">
        <f>$C$12*(1+$C$17)</f>
        <v>34.125</v>
      </c>
      <c r="J19" s="70">
        <f t="shared" ref="J19" si="13">$C$12*(1+$C$17)</f>
        <v>34.125</v>
      </c>
      <c r="K19" s="70">
        <f>$C$12</f>
        <v>27.3</v>
      </c>
      <c r="L19" s="70">
        <f>$C$12</f>
        <v>27.3</v>
      </c>
      <c r="M19" s="70">
        <f>$C$12</f>
        <v>27.3</v>
      </c>
      <c r="N19" s="70">
        <f>$C$13</f>
        <v>21.8</v>
      </c>
      <c r="O19" s="110">
        <f>$C$13</f>
        <v>21.8</v>
      </c>
    </row>
    <row r="20" spans="1:16" x14ac:dyDescent="0.25">
      <c r="A20" s="62" t="s">
        <v>54</v>
      </c>
      <c r="E20" s="28" t="s">
        <v>32</v>
      </c>
      <c r="F20" s="1" t="s">
        <v>37</v>
      </c>
      <c r="G20" s="70">
        <f>$C$14</f>
        <v>16.32</v>
      </c>
      <c r="H20" s="70">
        <f>$C$14</f>
        <v>16.32</v>
      </c>
      <c r="I20" s="70">
        <f>$C$14*(1+$C$17)</f>
        <v>20.399999999999999</v>
      </c>
      <c r="J20" s="70">
        <f t="shared" ref="J20" si="14">$C$14*(1+$C$17)</f>
        <v>20.399999999999999</v>
      </c>
      <c r="K20" s="70">
        <f t="shared" ref="K20:O20" si="15">$C$14</f>
        <v>16.32</v>
      </c>
      <c r="L20" s="70">
        <f t="shared" si="15"/>
        <v>16.32</v>
      </c>
      <c r="M20" s="70">
        <f t="shared" si="15"/>
        <v>16.32</v>
      </c>
      <c r="N20" s="70">
        <f t="shared" si="15"/>
        <v>16.32</v>
      </c>
      <c r="O20" s="110">
        <f t="shared" si="15"/>
        <v>16.32</v>
      </c>
    </row>
    <row r="21" spans="1:16" x14ac:dyDescent="0.25">
      <c r="A21" s="63" t="s">
        <v>50</v>
      </c>
      <c r="E21" s="27" t="s">
        <v>33</v>
      </c>
      <c r="F21" s="1" t="s">
        <v>37</v>
      </c>
      <c r="G21" s="55">
        <f t="shared" ref="G21:H21" si="16">(G19+G18+G20)*G17</f>
        <v>26.648000000000003</v>
      </c>
      <c r="H21" s="55">
        <f t="shared" si="16"/>
        <v>24.674074074074074</v>
      </c>
      <c r="I21" s="55">
        <f t="shared" ref="I21:O21" si="17">(I19+I18+I20)*I17</f>
        <v>33.31</v>
      </c>
      <c r="J21" s="55">
        <f t="shared" si="17"/>
        <v>30.842592592592592</v>
      </c>
      <c r="K21" s="55">
        <f t="shared" si="17"/>
        <v>18.505555555555556</v>
      </c>
      <c r="L21" s="55">
        <f t="shared" si="17"/>
        <v>18.505555555555556</v>
      </c>
      <c r="M21" s="55">
        <f t="shared" si="17"/>
        <v>22.206666666666667</v>
      </c>
      <c r="N21" s="55">
        <f t="shared" si="17"/>
        <v>20.373333333333331</v>
      </c>
      <c r="O21" s="111">
        <f t="shared" si="17"/>
        <v>20.373333333333331</v>
      </c>
    </row>
    <row r="22" spans="1:16" ht="15.75" thickBot="1" x14ac:dyDescent="0.3">
      <c r="E22" s="41" t="s">
        <v>11</v>
      </c>
      <c r="F22" s="37" t="s">
        <v>38</v>
      </c>
      <c r="G22" s="53">
        <v>1.5</v>
      </c>
      <c r="H22" s="53">
        <v>1.5</v>
      </c>
      <c r="I22" s="53">
        <v>1.5</v>
      </c>
      <c r="J22" s="53">
        <v>1.5</v>
      </c>
      <c r="K22" s="53">
        <v>1.5</v>
      </c>
      <c r="L22" s="53">
        <v>1.5</v>
      </c>
      <c r="M22" s="53">
        <v>1.5</v>
      </c>
      <c r="N22" s="53">
        <v>1.5</v>
      </c>
      <c r="O22" s="112">
        <v>1.5</v>
      </c>
      <c r="P22" t="s">
        <v>53</v>
      </c>
    </row>
    <row r="23" spans="1:16" x14ac:dyDescent="0.25">
      <c r="E23" s="26" t="s">
        <v>18</v>
      </c>
      <c r="F23" s="38" t="s">
        <v>38</v>
      </c>
      <c r="G23" s="39">
        <f t="shared" ref="G23:H23" si="18">(G30+G31+G32+G33)/G35</f>
        <v>117.79682982171546</v>
      </c>
      <c r="H23" s="39">
        <f t="shared" si="18"/>
        <v>68.199017631298133</v>
      </c>
      <c r="I23" s="39">
        <f t="shared" ref="I23:N23" si="19">(I30+I31+I32+I33)/I35</f>
        <v>146.27996086976597</v>
      </c>
      <c r="J23" s="39">
        <f t="shared" si="19"/>
        <v>84.556772906495624</v>
      </c>
      <c r="K23" s="39">
        <f>(K30+K31+K32+K33)/K35</f>
        <v>51.701217982304406</v>
      </c>
      <c r="L23" s="39">
        <f t="shared" si="19"/>
        <v>40.875757948691593</v>
      </c>
      <c r="M23" s="39">
        <f>(M30+M31+M32+M33)/M35</f>
        <v>46.794658540766896</v>
      </c>
      <c r="N23" s="39">
        <f t="shared" si="19"/>
        <v>45.263872580713091</v>
      </c>
      <c r="O23" s="113">
        <f>(O30+O31+O32+O33)/O35</f>
        <v>37.61958895600273</v>
      </c>
    </row>
    <row r="24" spans="1:16" x14ac:dyDescent="0.25">
      <c r="E24" s="49" t="s">
        <v>17</v>
      </c>
      <c r="F24" s="40"/>
      <c r="G24" s="54">
        <v>0.8</v>
      </c>
      <c r="H24" s="54">
        <v>0.8</v>
      </c>
      <c r="I24" s="54">
        <v>0.8</v>
      </c>
      <c r="J24" s="54">
        <v>0.8</v>
      </c>
      <c r="K24" s="54">
        <v>0.8</v>
      </c>
      <c r="L24" s="54">
        <v>0.8</v>
      </c>
      <c r="M24" s="54">
        <v>0.8</v>
      </c>
      <c r="N24" s="54">
        <v>0.8</v>
      </c>
      <c r="O24" s="114">
        <v>0.8</v>
      </c>
    </row>
    <row r="25" spans="1:16" ht="15.75" thickBot="1" x14ac:dyDescent="0.3">
      <c r="E25" s="35" t="s">
        <v>19</v>
      </c>
      <c r="F25" s="36" t="s">
        <v>38</v>
      </c>
      <c r="G25" s="5">
        <f>G23*G24</f>
        <v>94.237463857372376</v>
      </c>
      <c r="H25" s="5">
        <f t="shared" ref="H25" si="20">H23*H24</f>
        <v>54.559214105038507</v>
      </c>
      <c r="I25" s="5">
        <f>I23*I24</f>
        <v>117.02396869581278</v>
      </c>
      <c r="J25" s="5">
        <f t="shared" ref="J25:O25" si="21">J23*J24</f>
        <v>67.645418325196502</v>
      </c>
      <c r="K25" s="5">
        <f t="shared" si="21"/>
        <v>41.360974385843527</v>
      </c>
      <c r="L25" s="5">
        <f t="shared" si="21"/>
        <v>32.700606358953273</v>
      </c>
      <c r="M25" s="5">
        <f t="shared" si="21"/>
        <v>37.435726832613518</v>
      </c>
      <c r="N25" s="76">
        <f t="shared" si="21"/>
        <v>36.211098064570471</v>
      </c>
      <c r="O25" s="115">
        <f t="shared" si="21"/>
        <v>30.095671164802184</v>
      </c>
    </row>
    <row r="26" spans="1:16" x14ac:dyDescent="0.25">
      <c r="H26" s="9"/>
      <c r="J26" s="9"/>
      <c r="K26" s="9"/>
      <c r="L26" s="9"/>
      <c r="M26" s="9"/>
      <c r="N26" s="9"/>
      <c r="O26" s="9"/>
    </row>
    <row r="27" spans="1:16" x14ac:dyDescent="0.25">
      <c r="E27" s="7"/>
      <c r="F27" s="8"/>
      <c r="G27" s="9">
        <f>G15/1.25</f>
        <v>11498.514625013298</v>
      </c>
      <c r="H27" s="9">
        <f t="shared" ref="H27" si="22">H15/1.25</f>
        <v>10027.77438227904</v>
      </c>
      <c r="I27" s="9">
        <f>I15/1.25</f>
        <v>14373.143281266623</v>
      </c>
      <c r="J27" s="9">
        <f t="shared" ref="J27:K27" si="23">J15/1.25</f>
        <v>12534.717977848797</v>
      </c>
      <c r="K27" s="9">
        <f t="shared" si="23"/>
        <v>11949.764472215855</v>
      </c>
      <c r="L27" s="9"/>
      <c r="M27" s="9"/>
      <c r="N27" s="9"/>
      <c r="O27" s="9"/>
    </row>
    <row r="28" spans="1:16" x14ac:dyDescent="0.25">
      <c r="E28" s="6"/>
      <c r="F28" s="6"/>
      <c r="G28" s="95">
        <f>G11/1.25</f>
        <v>12800</v>
      </c>
      <c r="H28" s="6"/>
      <c r="I28" s="95">
        <f>I11/1.25</f>
        <v>16000</v>
      </c>
      <c r="J28" s="6"/>
      <c r="K28" s="6"/>
      <c r="L28" s="6"/>
      <c r="M28" s="6"/>
      <c r="N28" s="6"/>
      <c r="O28" s="6"/>
    </row>
    <row r="29" spans="1:16" x14ac:dyDescent="0.25">
      <c r="E29" s="42" t="s">
        <v>12</v>
      </c>
      <c r="F29" s="43"/>
      <c r="G29" s="44"/>
      <c r="H29" s="44"/>
      <c r="I29" s="44"/>
      <c r="J29" s="44"/>
      <c r="K29" s="44"/>
      <c r="L29" s="44"/>
      <c r="M29" s="44"/>
      <c r="N29" s="45"/>
      <c r="O29" s="45"/>
    </row>
    <row r="30" spans="1:16" x14ac:dyDescent="0.25">
      <c r="E30" s="46" t="str">
        <f>E9</f>
        <v>Investeringskostnader</v>
      </c>
      <c r="F30" s="10" t="s">
        <v>13</v>
      </c>
      <c r="G30" s="50">
        <f t="shared" ref="G30:H30" si="24">G15*100*1000*G6</f>
        <v>7186571.6406333111</v>
      </c>
      <c r="H30" s="50">
        <f t="shared" si="24"/>
        <v>12534717.977848798</v>
      </c>
      <c r="I30" s="50">
        <f t="shared" ref="I30:O30" si="25">I15*100*1000*I6</f>
        <v>8983214.5507916398</v>
      </c>
      <c r="J30" s="50">
        <f t="shared" si="25"/>
        <v>15668397.472310999</v>
      </c>
      <c r="K30" s="50">
        <f t="shared" si="25"/>
        <v>74686027.95134908</v>
      </c>
      <c r="L30" s="50">
        <f t="shared" si="25"/>
        <v>145716096.49249226</v>
      </c>
      <c r="M30" s="50">
        <f>M15*100*1000*M6</f>
        <v>67896389.046680987</v>
      </c>
      <c r="N30" s="50">
        <f t="shared" si="25"/>
        <v>101844583.57002148</v>
      </c>
      <c r="O30" s="50">
        <f t="shared" si="25"/>
        <v>135792778.09336197</v>
      </c>
    </row>
    <row r="31" spans="1:16" x14ac:dyDescent="0.25">
      <c r="E31" s="47" t="str">
        <f>E16</f>
        <v>Faste driftskostnader</v>
      </c>
      <c r="F31" s="11" t="s">
        <v>13</v>
      </c>
      <c r="G31" s="51">
        <f t="shared" ref="G31:H31" si="26">-PV($C$8,$C$7,G16*100*1000*G6)</f>
        <v>194244.97975481991</v>
      </c>
      <c r="H31" s="51">
        <f t="shared" si="26"/>
        <v>388489.95950963983</v>
      </c>
      <c r="I31" s="51">
        <f t="shared" ref="I31:O31" si="27">-PV($C$8,$C$7,I16*100*1000*I6)</f>
        <v>194244.97975481991</v>
      </c>
      <c r="J31" s="51">
        <f t="shared" si="27"/>
        <v>388489.95950963983</v>
      </c>
      <c r="K31" s="51">
        <f t="shared" si="27"/>
        <v>1456837.3481611491</v>
      </c>
      <c r="L31" s="51">
        <f t="shared" si="27"/>
        <v>4370512.0444834474</v>
      </c>
      <c r="M31" s="51">
        <f t="shared" si="27"/>
        <v>2913674.6963222981</v>
      </c>
      <c r="N31" s="51">
        <f t="shared" si="27"/>
        <v>5827349.3926445963</v>
      </c>
      <c r="O31" s="51">
        <f t="shared" si="27"/>
        <v>8741024.0889668949</v>
      </c>
    </row>
    <row r="32" spans="1:16" x14ac:dyDescent="0.25">
      <c r="E32" s="47" t="str">
        <f>E22</f>
        <v>Variable kostnader eks brensel</v>
      </c>
      <c r="F32" s="11" t="s">
        <v>13</v>
      </c>
      <c r="G32" s="51">
        <f t="shared" ref="G32:H32" si="28">-PV($C$8,$C$7,G22*1000*G6*G8)</f>
        <v>124559.59326777827</v>
      </c>
      <c r="H32" s="51">
        <f t="shared" si="28"/>
        <v>466187.95141156774</v>
      </c>
      <c r="I32" s="51">
        <f t="shared" ref="I32:O32" si="29">-PV($C$8,$C$7,I22*1000*I6*I8)</f>
        <v>124559.59326777827</v>
      </c>
      <c r="J32" s="51">
        <f t="shared" si="29"/>
        <v>466187.95141156774</v>
      </c>
      <c r="K32" s="51">
        <f t="shared" si="29"/>
        <v>3642093.370402873</v>
      </c>
      <c r="L32" s="51">
        <f t="shared" si="29"/>
        <v>10926280.11120862</v>
      </c>
      <c r="M32" s="51">
        <f t="shared" si="29"/>
        <v>4661879.5141156772</v>
      </c>
      <c r="N32" s="51">
        <f t="shared" si="29"/>
        <v>6992819.2711735163</v>
      </c>
      <c r="O32" s="51">
        <f t="shared" si="29"/>
        <v>13985638.542347033</v>
      </c>
    </row>
    <row r="33" spans="5:18" x14ac:dyDescent="0.25">
      <c r="E33" s="47" t="str">
        <f>E21</f>
        <v>Brenselskostnader</v>
      </c>
      <c r="F33" s="11" t="s">
        <v>13</v>
      </c>
      <c r="G33" s="51">
        <f t="shared" ref="G33:H33" si="30">-PV($C$8,$C$7,G21*1000*G6*G8)</f>
        <v>2212842.6942665037</v>
      </c>
      <c r="H33" s="51">
        <f t="shared" si="30"/>
        <v>7668504.030379911</v>
      </c>
      <c r="I33" s="51">
        <f t="shared" ref="I33:O33" si="31">-PV($C$8,$C$7,I21*1000*I6*I8)</f>
        <v>2766053.3678331291</v>
      </c>
      <c r="J33" s="51">
        <f t="shared" si="31"/>
        <v>9585630.0379748903</v>
      </c>
      <c r="K33" s="51">
        <f t="shared" si="31"/>
        <v>44932640.803007297</v>
      </c>
      <c r="L33" s="51">
        <f t="shared" si="31"/>
        <v>134797922.40902188</v>
      </c>
      <c r="M33" s="51">
        <f t="shared" si="31"/>
        <v>69016536.273419216</v>
      </c>
      <c r="N33" s="51">
        <f t="shared" si="31"/>
        <v>94978025.300916716</v>
      </c>
      <c r="O33" s="51">
        <f t="shared" si="31"/>
        <v>189956050.60183343</v>
      </c>
    </row>
    <row r="34" spans="5:18" x14ac:dyDescent="0.25">
      <c r="E34" s="80" t="s">
        <v>62</v>
      </c>
      <c r="F34" s="81" t="s">
        <v>14</v>
      </c>
      <c r="G34" s="52">
        <f>-PV($C$8+$C$10,$C$7,G$6*G$8*1000)</f>
        <v>82499.834016168839</v>
      </c>
      <c r="H34" s="52">
        <f t="shared" ref="H34:O34" si="32">-PV($C$8+$C$10,$C$7,H$6*H$8*1000)</f>
        <v>308771.30859852664</v>
      </c>
      <c r="I34" s="52">
        <f>-PV($C$8+$C$10,$C$7,I$6*I$8*1000)</f>
        <v>82499.834016168839</v>
      </c>
      <c r="J34" s="52">
        <f t="shared" si="32"/>
        <v>308771.30859852664</v>
      </c>
      <c r="K34" s="52">
        <f t="shared" si="32"/>
        <v>2412275.8484259895</v>
      </c>
      <c r="L34" s="52">
        <f t="shared" si="32"/>
        <v>7236827.545277969</v>
      </c>
      <c r="M34" s="52">
        <f t="shared" si="32"/>
        <v>3087713.0859852666</v>
      </c>
      <c r="N34" s="52">
        <f t="shared" si="32"/>
        <v>4631569.6289779004</v>
      </c>
      <c r="O34" s="52">
        <f t="shared" si="32"/>
        <v>9263139.2579558007</v>
      </c>
    </row>
    <row r="35" spans="5:18" x14ac:dyDescent="0.25">
      <c r="E35" s="82" t="s">
        <v>63</v>
      </c>
      <c r="F35" s="4" t="s">
        <v>2</v>
      </c>
      <c r="G35" s="83">
        <f t="shared" ref="G35:H35" si="33">G34:G34</f>
        <v>82499.834016168839</v>
      </c>
      <c r="H35" s="83">
        <f t="shared" si="33"/>
        <v>308771.30859852664</v>
      </c>
      <c r="I35" s="83">
        <f t="shared" ref="I35:O35" si="34">I34:I34</f>
        <v>82499.834016168839</v>
      </c>
      <c r="J35" s="83">
        <f t="shared" si="34"/>
        <v>308771.30859852664</v>
      </c>
      <c r="K35" s="83">
        <f t="shared" si="34"/>
        <v>2412275.8484259895</v>
      </c>
      <c r="L35" s="83">
        <f t="shared" si="34"/>
        <v>7236827.545277969</v>
      </c>
      <c r="M35" s="83">
        <f t="shared" si="34"/>
        <v>3087713.0859852666</v>
      </c>
      <c r="N35" s="83">
        <f t="shared" si="34"/>
        <v>4631569.6289779004</v>
      </c>
      <c r="O35" s="83">
        <f t="shared" si="34"/>
        <v>9263139.2579558007</v>
      </c>
      <c r="P35" s="87"/>
      <c r="Q35" s="87"/>
      <c r="R35" s="87"/>
    </row>
    <row r="36" spans="5:18" x14ac:dyDescent="0.25">
      <c r="E36" s="88" t="s">
        <v>60</v>
      </c>
      <c r="F36" s="89" t="s">
        <v>61</v>
      </c>
      <c r="G36" s="84">
        <f>G6*G8*1000</f>
        <v>8550</v>
      </c>
      <c r="H36" s="84">
        <f t="shared" ref="H36" si="35">H6*H8*1000</f>
        <v>32000</v>
      </c>
      <c r="I36" s="84">
        <f>I6*I8*1000</f>
        <v>8550</v>
      </c>
      <c r="J36" s="84">
        <f t="shared" ref="J36:O36" si="36">J6*J8*1000</f>
        <v>32000</v>
      </c>
      <c r="K36" s="84">
        <f t="shared" si="36"/>
        <v>250000</v>
      </c>
      <c r="L36" s="84">
        <f t="shared" si="36"/>
        <v>750000</v>
      </c>
      <c r="M36" s="84">
        <f t="shared" si="36"/>
        <v>320000</v>
      </c>
      <c r="N36" s="84">
        <f t="shared" si="36"/>
        <v>480000</v>
      </c>
      <c r="O36" s="84">
        <f t="shared" si="36"/>
        <v>960000</v>
      </c>
      <c r="P36" s="90"/>
      <c r="Q36" s="90"/>
      <c r="R36" s="90"/>
    </row>
    <row r="37" spans="5:18" x14ac:dyDescent="0.25">
      <c r="E37" s="91" t="s">
        <v>64</v>
      </c>
      <c r="F37" s="89" t="s">
        <v>2</v>
      </c>
      <c r="G37" s="85">
        <f>-PV($C$8,$C$7,G$6*G$8*1000)</f>
        <v>83039.728845185513</v>
      </c>
      <c r="H37" s="85">
        <f t="shared" ref="H37:O37" si="37">-PV($C$8,$C$7,H$6*H$8*1000)</f>
        <v>310791.96760771185</v>
      </c>
      <c r="I37" s="85">
        <f>-PV($C$8,$C$7,I$6*I$8*1000)</f>
        <v>83039.728845185513</v>
      </c>
      <c r="J37" s="85">
        <f t="shared" si="37"/>
        <v>310791.96760771185</v>
      </c>
      <c r="K37" s="85">
        <f t="shared" si="37"/>
        <v>2428062.2469352488</v>
      </c>
      <c r="L37" s="85">
        <f t="shared" si="37"/>
        <v>7284186.7408057461</v>
      </c>
      <c r="M37" s="85">
        <f t="shared" si="37"/>
        <v>3107919.6760771186</v>
      </c>
      <c r="N37" s="85">
        <f t="shared" si="37"/>
        <v>4661879.5141156772</v>
      </c>
      <c r="O37" s="85">
        <f t="shared" si="37"/>
        <v>9323759.0282313544</v>
      </c>
      <c r="P37" s="90"/>
      <c r="Q37" s="90"/>
      <c r="R37" s="90"/>
    </row>
    <row r="38" spans="5:18" x14ac:dyDescent="0.25">
      <c r="E38" s="92" t="s">
        <v>65</v>
      </c>
      <c r="F38" s="93" t="s">
        <v>2</v>
      </c>
      <c r="G38" s="86">
        <f t="shared" ref="G38:H38" si="38">G37:G37</f>
        <v>83039.728845185513</v>
      </c>
      <c r="H38" s="86">
        <f t="shared" si="38"/>
        <v>310791.96760771185</v>
      </c>
      <c r="I38" s="86">
        <f t="shared" ref="I38:O38" si="39">I37:I37</f>
        <v>83039.728845185513</v>
      </c>
      <c r="J38" s="86">
        <f t="shared" si="39"/>
        <v>310791.96760771185</v>
      </c>
      <c r="K38" s="86">
        <f t="shared" si="39"/>
        <v>2428062.2469352488</v>
      </c>
      <c r="L38" s="86">
        <f t="shared" si="39"/>
        <v>7284186.7408057461</v>
      </c>
      <c r="M38" s="86">
        <f t="shared" si="39"/>
        <v>3107919.6760771186</v>
      </c>
      <c r="N38" s="86">
        <f t="shared" si="39"/>
        <v>4661879.5141156772</v>
      </c>
      <c r="O38" s="86">
        <f t="shared" si="39"/>
        <v>9323759.0282313544</v>
      </c>
      <c r="P38" s="90"/>
      <c r="Q38" s="90"/>
      <c r="R38" s="90"/>
    </row>
    <row r="41" spans="5:18" x14ac:dyDescent="0.25">
      <c r="E41" s="94" t="s">
        <v>67</v>
      </c>
    </row>
  </sheetData>
  <mergeCells count="4">
    <mergeCell ref="E4:O4"/>
    <mergeCell ref="I3:J3"/>
    <mergeCell ref="K3:O3"/>
    <mergeCell ref="G3:H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Kostnad 2016</vt:lpstr>
    </vt:vector>
  </TitlesOfParts>
  <Company>NVE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Olav Karstad Isachsen</dc:creator>
  <cp:lastModifiedBy>Olav Karstad Isachsen</cp:lastModifiedBy>
  <dcterms:created xsi:type="dcterms:W3CDTF">2016-11-15T12:54:30Z</dcterms:created>
  <dcterms:modified xsi:type="dcterms:W3CDTF">2017-03-17T14:57:17Z</dcterms:modified>
</cp:coreProperties>
</file>