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 tabRatio="800"/>
  </bookViews>
  <sheets>
    <sheet name="Kostnad 2016 Berg_inkl_kjøling" sheetId="2" r:id="rId1"/>
    <sheet name="Kostnad 2016 Sjøvann_inkl_kjøli" sheetId="3" r:id="rId2"/>
    <sheet name="Kostnad 2016 Grunnvann_inkl_kjø" sheetId="4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8" i="2" l="1"/>
  <c r="H116" i="2"/>
  <c r="H115" i="2"/>
  <c r="H114" i="2"/>
  <c r="H110" i="2"/>
  <c r="H125" i="2" s="1"/>
  <c r="H107" i="2"/>
  <c r="H106" i="2"/>
  <c r="H105" i="2"/>
  <c r="H104" i="2"/>
  <c r="H103" i="2"/>
  <c r="H102" i="2"/>
  <c r="H101" i="2"/>
  <c r="H75" i="2"/>
  <c r="H73" i="2"/>
  <c r="H72" i="2"/>
  <c r="H71" i="2"/>
  <c r="H67" i="2"/>
  <c r="H64" i="2"/>
  <c r="H63" i="2"/>
  <c r="H62" i="2"/>
  <c r="H61" i="2"/>
  <c r="H60" i="2"/>
  <c r="H59" i="2"/>
  <c r="H58" i="2"/>
  <c r="H30" i="2"/>
  <c r="H29" i="2"/>
  <c r="H28" i="2"/>
  <c r="H24" i="2"/>
  <c r="H21" i="2"/>
  <c r="H20" i="2"/>
  <c r="H19" i="2"/>
  <c r="H18" i="2"/>
  <c r="H17" i="2"/>
  <c r="H16" i="2"/>
  <c r="H15" i="2"/>
  <c r="H130" i="2"/>
  <c r="H129" i="2"/>
  <c r="H131" i="2" s="1"/>
  <c r="H126" i="2"/>
  <c r="H113" i="2"/>
  <c r="H112" i="2"/>
  <c r="H111" i="2"/>
  <c r="H87" i="2"/>
  <c r="H86" i="2"/>
  <c r="H88" i="2" s="1"/>
  <c r="H83" i="2"/>
  <c r="H82" i="2"/>
  <c r="H70" i="2"/>
  <c r="H69" i="2"/>
  <c r="H68" i="2"/>
  <c r="H44" i="2"/>
  <c r="H40" i="2"/>
  <c r="H39" i="2"/>
  <c r="H31" i="2"/>
  <c r="H27" i="2"/>
  <c r="H26" i="2"/>
  <c r="H8" i="2"/>
  <c r="H25" i="2" s="1"/>
  <c r="H7" i="2"/>
  <c r="H43" i="2" s="1"/>
  <c r="H45" i="2" s="1"/>
  <c r="H117" i="2" l="1"/>
  <c r="H74" i="2"/>
  <c r="H128" i="2"/>
  <c r="H127" i="2"/>
  <c r="H108" i="2"/>
  <c r="H109" i="2" s="1"/>
  <c r="H124" i="2" s="1"/>
  <c r="H85" i="2"/>
  <c r="H84" i="2"/>
  <c r="H65" i="2"/>
  <c r="H66" i="2" s="1"/>
  <c r="H81" i="2" s="1"/>
  <c r="H42" i="2"/>
  <c r="H41" i="2"/>
  <c r="H22" i="2"/>
  <c r="H23" i="2" s="1"/>
  <c r="H38" i="2" s="1"/>
  <c r="E126" i="4"/>
  <c r="E125" i="4"/>
  <c r="E124" i="4"/>
  <c r="J113" i="4"/>
  <c r="I113" i="4"/>
  <c r="H113" i="4"/>
  <c r="G113" i="4"/>
  <c r="J112" i="4"/>
  <c r="I112" i="4"/>
  <c r="H112" i="4"/>
  <c r="G112" i="4"/>
  <c r="J111" i="4"/>
  <c r="I111" i="4"/>
  <c r="H111" i="4"/>
  <c r="G111" i="4"/>
  <c r="J103" i="4"/>
  <c r="I103" i="4"/>
  <c r="H103" i="4"/>
  <c r="G103" i="4"/>
  <c r="J102" i="4"/>
  <c r="J104" i="4" s="1"/>
  <c r="I102" i="4"/>
  <c r="I104" i="4" s="1"/>
  <c r="H102" i="4"/>
  <c r="H104" i="4" s="1"/>
  <c r="G102" i="4"/>
  <c r="G104" i="4" s="1"/>
  <c r="E83" i="4"/>
  <c r="E82" i="4"/>
  <c r="E81" i="4"/>
  <c r="J70" i="4"/>
  <c r="I70" i="4"/>
  <c r="H70" i="4"/>
  <c r="G70" i="4"/>
  <c r="J69" i="4"/>
  <c r="I69" i="4"/>
  <c r="H69" i="4"/>
  <c r="G69" i="4"/>
  <c r="J68" i="4"/>
  <c r="I68" i="4"/>
  <c r="H68" i="4"/>
  <c r="G68" i="4"/>
  <c r="L66" i="4"/>
  <c r="J60" i="4"/>
  <c r="I60" i="4"/>
  <c r="H60" i="4"/>
  <c r="G60" i="4"/>
  <c r="J59" i="4"/>
  <c r="J61" i="4" s="1"/>
  <c r="I59" i="4"/>
  <c r="I61" i="4" s="1"/>
  <c r="H59" i="4"/>
  <c r="H61" i="4" s="1"/>
  <c r="G59" i="4"/>
  <c r="G61" i="4" s="1"/>
  <c r="E40" i="4"/>
  <c r="E39" i="4"/>
  <c r="E38" i="4"/>
  <c r="J27" i="4"/>
  <c r="I27" i="4"/>
  <c r="H27" i="4"/>
  <c r="G27" i="4"/>
  <c r="J26" i="4"/>
  <c r="I26" i="4"/>
  <c r="H26" i="4"/>
  <c r="G26" i="4"/>
  <c r="I25" i="4"/>
  <c r="J17" i="4"/>
  <c r="I17" i="4"/>
  <c r="H17" i="4"/>
  <c r="G17" i="4"/>
  <c r="J16" i="4"/>
  <c r="J18" i="4" s="1"/>
  <c r="I16" i="4"/>
  <c r="I18" i="4" s="1"/>
  <c r="H16" i="4"/>
  <c r="H18" i="4" s="1"/>
  <c r="G16" i="4"/>
  <c r="G18" i="4" s="1"/>
  <c r="C16" i="4"/>
  <c r="C15" i="4"/>
  <c r="I116" i="4" s="1"/>
  <c r="C14" i="4"/>
  <c r="G73" i="4" s="1"/>
  <c r="C13" i="4"/>
  <c r="I115" i="4" s="1"/>
  <c r="A13" i="4"/>
  <c r="C12" i="4"/>
  <c r="G72" i="4" s="1"/>
  <c r="A12" i="4"/>
  <c r="C11" i="4"/>
  <c r="I114" i="4" s="1"/>
  <c r="A11" i="4"/>
  <c r="C10" i="4"/>
  <c r="C9" i="4"/>
  <c r="H22" i="4" s="1"/>
  <c r="J8" i="4"/>
  <c r="J25" i="4" s="1"/>
  <c r="I8" i="4"/>
  <c r="H8" i="4"/>
  <c r="H25" i="4" s="1"/>
  <c r="G8" i="4"/>
  <c r="G25" i="4" s="1"/>
  <c r="C8" i="4"/>
  <c r="C7" i="4"/>
  <c r="C5" i="4"/>
  <c r="E126" i="3"/>
  <c r="E125" i="3"/>
  <c r="E124" i="3"/>
  <c r="J113" i="3"/>
  <c r="I113" i="3"/>
  <c r="H113" i="3"/>
  <c r="G113" i="3"/>
  <c r="J112" i="3"/>
  <c r="I112" i="3"/>
  <c r="H112" i="3"/>
  <c r="G112" i="3"/>
  <c r="J111" i="3"/>
  <c r="I111" i="3"/>
  <c r="H111" i="3"/>
  <c r="G111" i="3"/>
  <c r="J103" i="3"/>
  <c r="I103" i="3"/>
  <c r="H103" i="3"/>
  <c r="G103" i="3"/>
  <c r="J102" i="3"/>
  <c r="J104" i="3" s="1"/>
  <c r="I102" i="3"/>
  <c r="I104" i="3" s="1"/>
  <c r="H102" i="3"/>
  <c r="H104" i="3" s="1"/>
  <c r="G102" i="3"/>
  <c r="G104" i="3" s="1"/>
  <c r="E83" i="3"/>
  <c r="E82" i="3"/>
  <c r="E81" i="3"/>
  <c r="J70" i="3"/>
  <c r="I70" i="3"/>
  <c r="H70" i="3"/>
  <c r="G70" i="3"/>
  <c r="J69" i="3"/>
  <c r="I69" i="3"/>
  <c r="H69" i="3"/>
  <c r="G69" i="3"/>
  <c r="J68" i="3"/>
  <c r="I68" i="3"/>
  <c r="H68" i="3"/>
  <c r="G68" i="3"/>
  <c r="L66" i="3"/>
  <c r="J60" i="3"/>
  <c r="I60" i="3"/>
  <c r="H60" i="3"/>
  <c r="G60" i="3"/>
  <c r="J59" i="3"/>
  <c r="J61" i="3" s="1"/>
  <c r="I59" i="3"/>
  <c r="I61" i="3" s="1"/>
  <c r="H59" i="3"/>
  <c r="H61" i="3" s="1"/>
  <c r="G59" i="3"/>
  <c r="G61" i="3" s="1"/>
  <c r="E40" i="3"/>
  <c r="E39" i="3"/>
  <c r="E38" i="3"/>
  <c r="J27" i="3"/>
  <c r="I27" i="3"/>
  <c r="H27" i="3"/>
  <c r="G27" i="3"/>
  <c r="J26" i="3"/>
  <c r="I26" i="3"/>
  <c r="H26" i="3"/>
  <c r="G26" i="3"/>
  <c r="I25" i="3"/>
  <c r="G25" i="3"/>
  <c r="I18" i="3"/>
  <c r="J17" i="3"/>
  <c r="I17" i="3"/>
  <c r="H17" i="3"/>
  <c r="G17" i="3"/>
  <c r="J16" i="3"/>
  <c r="J18" i="3" s="1"/>
  <c r="I16" i="3"/>
  <c r="H16" i="3"/>
  <c r="H18" i="3" s="1"/>
  <c r="G16" i="3"/>
  <c r="G18" i="3" s="1"/>
  <c r="C16" i="3"/>
  <c r="C15" i="3"/>
  <c r="I30" i="3" s="1"/>
  <c r="C14" i="3"/>
  <c r="G116" i="3" s="1"/>
  <c r="C13" i="3"/>
  <c r="A13" i="3"/>
  <c r="C12" i="3"/>
  <c r="G29" i="3" s="1"/>
  <c r="A12" i="3"/>
  <c r="C11" i="3"/>
  <c r="A11" i="3"/>
  <c r="C10" i="3"/>
  <c r="C9" i="3"/>
  <c r="H22" i="3" s="1"/>
  <c r="J8" i="3"/>
  <c r="J25" i="3" s="1"/>
  <c r="I8" i="3"/>
  <c r="H8" i="3"/>
  <c r="H25" i="3" s="1"/>
  <c r="G8" i="3"/>
  <c r="C8" i="3"/>
  <c r="J7" i="3"/>
  <c r="I7" i="3"/>
  <c r="H7" i="3"/>
  <c r="G7" i="3"/>
  <c r="C7" i="3"/>
  <c r="C5" i="3"/>
  <c r="E126" i="2"/>
  <c r="E125" i="2"/>
  <c r="E124" i="2"/>
  <c r="L118" i="2"/>
  <c r="O113" i="2"/>
  <c r="N113" i="2"/>
  <c r="M113" i="2"/>
  <c r="L113" i="2"/>
  <c r="K113" i="2"/>
  <c r="I113" i="2"/>
  <c r="G113" i="2"/>
  <c r="O112" i="2"/>
  <c r="N112" i="2"/>
  <c r="M112" i="2"/>
  <c r="L112" i="2"/>
  <c r="K112" i="2"/>
  <c r="I112" i="2"/>
  <c r="G112" i="2"/>
  <c r="O111" i="2"/>
  <c r="N111" i="2"/>
  <c r="M111" i="2"/>
  <c r="L111" i="2"/>
  <c r="K111" i="2"/>
  <c r="I111" i="2"/>
  <c r="G111" i="2"/>
  <c r="L110" i="2"/>
  <c r="N107" i="2"/>
  <c r="M107" i="2"/>
  <c r="I107" i="2"/>
  <c r="G107" i="2"/>
  <c r="O106" i="2"/>
  <c r="N106" i="2"/>
  <c r="M106" i="2"/>
  <c r="L106" i="2"/>
  <c r="K106" i="2"/>
  <c r="O103" i="2"/>
  <c r="N103" i="2"/>
  <c r="M103" i="2"/>
  <c r="L103" i="2"/>
  <c r="K103" i="2"/>
  <c r="G103" i="2"/>
  <c r="O102" i="2"/>
  <c r="O104" i="2" s="1"/>
  <c r="N102" i="2"/>
  <c r="N104" i="2" s="1"/>
  <c r="M102" i="2"/>
  <c r="M104" i="2" s="1"/>
  <c r="L102" i="2"/>
  <c r="L104" i="2" s="1"/>
  <c r="K102" i="2"/>
  <c r="K104" i="2" s="1"/>
  <c r="I102" i="2"/>
  <c r="I104" i="2" s="1"/>
  <c r="G102" i="2"/>
  <c r="G104" i="2" s="1"/>
  <c r="I101" i="2"/>
  <c r="I103" i="2" s="1"/>
  <c r="E83" i="2"/>
  <c r="E82" i="2"/>
  <c r="E81" i="2"/>
  <c r="O70" i="2"/>
  <c r="N70" i="2"/>
  <c r="M70" i="2"/>
  <c r="L70" i="2"/>
  <c r="K70" i="2"/>
  <c r="J70" i="2"/>
  <c r="I70" i="2"/>
  <c r="G70" i="2"/>
  <c r="O69" i="2"/>
  <c r="N69" i="2"/>
  <c r="M69" i="2"/>
  <c r="L69" i="2"/>
  <c r="K69" i="2"/>
  <c r="J69" i="2"/>
  <c r="I69" i="2"/>
  <c r="G69" i="2"/>
  <c r="O68" i="2"/>
  <c r="N68" i="2"/>
  <c r="M68" i="2"/>
  <c r="L68" i="2"/>
  <c r="K68" i="2"/>
  <c r="J68" i="2"/>
  <c r="I68" i="2"/>
  <c r="G68" i="2"/>
  <c r="Q66" i="2"/>
  <c r="O64" i="2"/>
  <c r="N64" i="2"/>
  <c r="M64" i="2"/>
  <c r="K64" i="2"/>
  <c r="J64" i="2"/>
  <c r="I64" i="2"/>
  <c r="G64" i="2"/>
  <c r="O63" i="2"/>
  <c r="N63" i="2"/>
  <c r="M63" i="2"/>
  <c r="L63" i="2"/>
  <c r="K63" i="2"/>
  <c r="J63" i="2"/>
  <c r="I63" i="2"/>
  <c r="G63" i="2"/>
  <c r="N61" i="2"/>
  <c r="O60" i="2"/>
  <c r="N60" i="2"/>
  <c r="M60" i="2"/>
  <c r="L60" i="2"/>
  <c r="K60" i="2"/>
  <c r="J60" i="2"/>
  <c r="I60" i="2"/>
  <c r="G60" i="2"/>
  <c r="O59" i="2"/>
  <c r="O61" i="2" s="1"/>
  <c r="N59" i="2"/>
  <c r="M59" i="2"/>
  <c r="M61" i="2" s="1"/>
  <c r="L59" i="2"/>
  <c r="L61" i="2" s="1"/>
  <c r="K59" i="2"/>
  <c r="K61" i="2" s="1"/>
  <c r="J59" i="2"/>
  <c r="J61" i="2" s="1"/>
  <c r="I59" i="2"/>
  <c r="I61" i="2" s="1"/>
  <c r="G59" i="2"/>
  <c r="G61" i="2" s="1"/>
  <c r="E40" i="2"/>
  <c r="E39" i="2"/>
  <c r="E38" i="2"/>
  <c r="O27" i="2"/>
  <c r="N27" i="2"/>
  <c r="M27" i="2"/>
  <c r="L27" i="2"/>
  <c r="K27" i="2"/>
  <c r="J27" i="2"/>
  <c r="I27" i="2"/>
  <c r="G27" i="2"/>
  <c r="O26" i="2"/>
  <c r="N26" i="2"/>
  <c r="M26" i="2"/>
  <c r="L26" i="2"/>
  <c r="K26" i="2"/>
  <c r="J26" i="2"/>
  <c r="I26" i="2"/>
  <c r="G26" i="2"/>
  <c r="X23" i="2"/>
  <c r="O107" i="2" s="1"/>
  <c r="W23" i="2"/>
  <c r="V23" i="2"/>
  <c r="U23" i="2"/>
  <c r="K107" i="2" s="1"/>
  <c r="O21" i="2"/>
  <c r="N21" i="2"/>
  <c r="M21" i="2"/>
  <c r="K21" i="2"/>
  <c r="L21" i="2" s="1"/>
  <c r="J21" i="2"/>
  <c r="I21" i="2"/>
  <c r="G21" i="2"/>
  <c r="O20" i="2"/>
  <c r="N20" i="2"/>
  <c r="M20" i="2"/>
  <c r="L20" i="2"/>
  <c r="K20" i="2"/>
  <c r="J20" i="2"/>
  <c r="I20" i="2"/>
  <c r="G20" i="2"/>
  <c r="K19" i="2"/>
  <c r="X18" i="2"/>
  <c r="X19" i="2" s="1"/>
  <c r="W18" i="2"/>
  <c r="W19" i="2" s="1"/>
  <c r="V18" i="2"/>
  <c r="V19" i="2" s="1"/>
  <c r="U18" i="2"/>
  <c r="U19" i="2" s="1"/>
  <c r="O17" i="2"/>
  <c r="N17" i="2"/>
  <c r="M17" i="2"/>
  <c r="L17" i="2"/>
  <c r="K17" i="2"/>
  <c r="J17" i="2"/>
  <c r="I17" i="2"/>
  <c r="G17" i="2"/>
  <c r="O16" i="2"/>
  <c r="O18" i="2" s="1"/>
  <c r="N16" i="2"/>
  <c r="N18" i="2" s="1"/>
  <c r="M16" i="2"/>
  <c r="M18" i="2" s="1"/>
  <c r="L16" i="2"/>
  <c r="L18" i="2" s="1"/>
  <c r="K16" i="2"/>
  <c r="K18" i="2" s="1"/>
  <c r="J16" i="2"/>
  <c r="J18" i="2" s="1"/>
  <c r="I16" i="2"/>
  <c r="I18" i="2" s="1"/>
  <c r="G16" i="2"/>
  <c r="G18" i="2" s="1"/>
  <c r="C16" i="2"/>
  <c r="C15" i="2"/>
  <c r="C14" i="2"/>
  <c r="K116" i="2" s="1"/>
  <c r="C13" i="2"/>
  <c r="M72" i="2" s="1"/>
  <c r="A13" i="2"/>
  <c r="C12" i="2"/>
  <c r="L29" i="2" s="1"/>
  <c r="A12" i="2"/>
  <c r="C11" i="2"/>
  <c r="I71" i="2" s="1"/>
  <c r="A11" i="2"/>
  <c r="C10" i="2"/>
  <c r="V9" i="2"/>
  <c r="V14" i="2" s="1"/>
  <c r="C9" i="2"/>
  <c r="X8" i="2"/>
  <c r="X9" i="2" s="1"/>
  <c r="W8" i="2"/>
  <c r="W9" i="2" s="1"/>
  <c r="V8" i="2"/>
  <c r="U8" i="2"/>
  <c r="U9" i="2" s="1"/>
  <c r="O8" i="2"/>
  <c r="O25" i="2" s="1"/>
  <c r="N8" i="2"/>
  <c r="N25" i="2" s="1"/>
  <c r="M8" i="2"/>
  <c r="M25" i="2" s="1"/>
  <c r="L8" i="2"/>
  <c r="L25" i="2" s="1"/>
  <c r="K8" i="2"/>
  <c r="K25" i="2" s="1"/>
  <c r="J8" i="2"/>
  <c r="J25" i="2" s="1"/>
  <c r="I8" i="2"/>
  <c r="I25" i="2" s="1"/>
  <c r="G8" i="2"/>
  <c r="G25" i="2" s="1"/>
  <c r="C8" i="2"/>
  <c r="O7" i="2"/>
  <c r="N7" i="2"/>
  <c r="M7" i="2"/>
  <c r="L7" i="2"/>
  <c r="K7" i="2"/>
  <c r="J7" i="2"/>
  <c r="I7" i="2"/>
  <c r="G7" i="2"/>
  <c r="C7" i="2"/>
  <c r="C5" i="2"/>
  <c r="H119" i="2" l="1"/>
  <c r="H121" i="2" s="1"/>
  <c r="H76" i="2"/>
  <c r="H78" i="2" s="1"/>
  <c r="H33" i="2"/>
  <c r="H35" i="2" s="1"/>
  <c r="J83" i="4"/>
  <c r="N105" i="2"/>
  <c r="W24" i="2"/>
  <c r="L107" i="2"/>
  <c r="L64" i="2"/>
  <c r="I114" i="2"/>
  <c r="G73" i="3"/>
  <c r="J40" i="4"/>
  <c r="K72" i="2"/>
  <c r="G30" i="3"/>
  <c r="I29" i="4"/>
  <c r="K73" i="2"/>
  <c r="G39" i="4"/>
  <c r="J115" i="4"/>
  <c r="I30" i="2"/>
  <c r="L73" i="2"/>
  <c r="K30" i="2"/>
  <c r="M73" i="2"/>
  <c r="G129" i="4"/>
  <c r="J40" i="3"/>
  <c r="J114" i="4"/>
  <c r="M116" i="2"/>
  <c r="J130" i="4"/>
  <c r="N22" i="2"/>
  <c r="J28" i="2"/>
  <c r="O30" i="2"/>
  <c r="G72" i="2"/>
  <c r="I28" i="4"/>
  <c r="G82" i="4"/>
  <c r="O22" i="2"/>
  <c r="L28" i="2"/>
  <c r="I72" i="2"/>
  <c r="I22" i="4"/>
  <c r="I23" i="4" s="1"/>
  <c r="I38" i="4" s="1"/>
  <c r="I22" i="3"/>
  <c r="I23" i="3" s="1"/>
  <c r="I38" i="3" s="1"/>
  <c r="G29" i="2"/>
  <c r="N71" i="2"/>
  <c r="I115" i="2"/>
  <c r="H125" i="4"/>
  <c r="G115" i="2"/>
  <c r="I29" i="2"/>
  <c r="G116" i="2"/>
  <c r="I71" i="4"/>
  <c r="I72" i="4"/>
  <c r="G126" i="4"/>
  <c r="I117" i="4"/>
  <c r="I127" i="4" s="1"/>
  <c r="H23" i="4"/>
  <c r="H38" i="4" s="1"/>
  <c r="J65" i="4"/>
  <c r="J66" i="4" s="1"/>
  <c r="J81" i="4" s="1"/>
  <c r="I30" i="4"/>
  <c r="J43" i="4"/>
  <c r="J86" i="4"/>
  <c r="J22" i="4"/>
  <c r="J23" i="4" s="1"/>
  <c r="J38" i="4" s="1"/>
  <c r="J28" i="4"/>
  <c r="J29" i="4"/>
  <c r="J30" i="4"/>
  <c r="H39" i="4"/>
  <c r="G40" i="4"/>
  <c r="G43" i="4"/>
  <c r="G44" i="4"/>
  <c r="G65" i="4"/>
  <c r="G66" i="4" s="1"/>
  <c r="G81" i="4" s="1"/>
  <c r="J71" i="4"/>
  <c r="J72" i="4"/>
  <c r="J73" i="4"/>
  <c r="H82" i="4"/>
  <c r="G83" i="4"/>
  <c r="G86" i="4"/>
  <c r="G87" i="4"/>
  <c r="G108" i="4"/>
  <c r="G109" i="4" s="1"/>
  <c r="G124" i="4" s="1"/>
  <c r="G114" i="4"/>
  <c r="G115" i="4"/>
  <c r="G116" i="4"/>
  <c r="I125" i="4"/>
  <c r="H126" i="4"/>
  <c r="H129" i="4"/>
  <c r="H130" i="4"/>
  <c r="J44" i="4"/>
  <c r="J87" i="4"/>
  <c r="J108" i="4"/>
  <c r="J109" i="4" s="1"/>
  <c r="J124" i="4" s="1"/>
  <c r="J116" i="4"/>
  <c r="G130" i="4"/>
  <c r="G131" i="4" s="1"/>
  <c r="G22" i="4"/>
  <c r="G23" i="4" s="1"/>
  <c r="G38" i="4" s="1"/>
  <c r="G28" i="4"/>
  <c r="G29" i="4"/>
  <c r="G30" i="4"/>
  <c r="I39" i="4"/>
  <c r="H40" i="4"/>
  <c r="H43" i="4"/>
  <c r="H44" i="4"/>
  <c r="H65" i="4"/>
  <c r="H66" i="4" s="1"/>
  <c r="H81" i="4" s="1"/>
  <c r="G71" i="4"/>
  <c r="G74" i="4" s="1"/>
  <c r="I82" i="4"/>
  <c r="H83" i="4"/>
  <c r="H86" i="4"/>
  <c r="H87" i="4"/>
  <c r="H108" i="4"/>
  <c r="H109" i="4" s="1"/>
  <c r="H124" i="4" s="1"/>
  <c r="H114" i="4"/>
  <c r="H115" i="4"/>
  <c r="H116" i="4"/>
  <c r="J125" i="4"/>
  <c r="I126" i="4"/>
  <c r="I129" i="4"/>
  <c r="I130" i="4"/>
  <c r="I73" i="4"/>
  <c r="H28" i="4"/>
  <c r="H29" i="4"/>
  <c r="H30" i="4"/>
  <c r="J39" i="4"/>
  <c r="I40" i="4"/>
  <c r="I43" i="4"/>
  <c r="I44" i="4"/>
  <c r="I65" i="4"/>
  <c r="I66" i="4" s="1"/>
  <c r="I81" i="4" s="1"/>
  <c r="H71" i="4"/>
  <c r="H72" i="4"/>
  <c r="H73" i="4"/>
  <c r="J82" i="4"/>
  <c r="I83" i="4"/>
  <c r="I86" i="4"/>
  <c r="I87" i="4"/>
  <c r="I108" i="4"/>
  <c r="I109" i="4" s="1"/>
  <c r="I124" i="4" s="1"/>
  <c r="G125" i="4"/>
  <c r="J126" i="4"/>
  <c r="J129" i="4"/>
  <c r="J130" i="3"/>
  <c r="J129" i="3"/>
  <c r="J126" i="3"/>
  <c r="G125" i="3"/>
  <c r="I108" i="3"/>
  <c r="I109" i="3" s="1"/>
  <c r="I124" i="3" s="1"/>
  <c r="I87" i="3"/>
  <c r="I86" i="3"/>
  <c r="I83" i="3"/>
  <c r="J82" i="3"/>
  <c r="I65" i="3"/>
  <c r="I44" i="3"/>
  <c r="I43" i="3"/>
  <c r="I45" i="3" s="1"/>
  <c r="I40" i="3"/>
  <c r="J39" i="3"/>
  <c r="I130" i="3"/>
  <c r="I129" i="3"/>
  <c r="I126" i="3"/>
  <c r="J125" i="3"/>
  <c r="H108" i="3"/>
  <c r="H109" i="3" s="1"/>
  <c r="H124" i="3" s="1"/>
  <c r="H87" i="3"/>
  <c r="H86" i="3"/>
  <c r="H83" i="3"/>
  <c r="I82" i="3"/>
  <c r="H65" i="3"/>
  <c r="H66" i="3" s="1"/>
  <c r="H81" i="3" s="1"/>
  <c r="H130" i="3"/>
  <c r="H129" i="3"/>
  <c r="H126" i="3"/>
  <c r="I125" i="3"/>
  <c r="G108" i="3"/>
  <c r="G109" i="3" s="1"/>
  <c r="G124" i="3" s="1"/>
  <c r="G87" i="3"/>
  <c r="G86" i="3"/>
  <c r="G83" i="3"/>
  <c r="H82" i="3"/>
  <c r="G65" i="3"/>
  <c r="G66" i="3" s="1"/>
  <c r="G81" i="3" s="1"/>
  <c r="G44" i="3"/>
  <c r="G43" i="3"/>
  <c r="G40" i="3"/>
  <c r="H39" i="3"/>
  <c r="G130" i="3"/>
  <c r="G129" i="3"/>
  <c r="G126" i="3"/>
  <c r="H125" i="3"/>
  <c r="J108" i="3"/>
  <c r="J109" i="3" s="1"/>
  <c r="J124" i="3" s="1"/>
  <c r="J87" i="3"/>
  <c r="J86" i="3"/>
  <c r="J83" i="3"/>
  <c r="G82" i="3"/>
  <c r="J65" i="3"/>
  <c r="J66" i="3" s="1"/>
  <c r="J81" i="3" s="1"/>
  <c r="I114" i="3"/>
  <c r="H71" i="3"/>
  <c r="H28" i="3"/>
  <c r="H114" i="3"/>
  <c r="G71" i="3"/>
  <c r="G114" i="3"/>
  <c r="J71" i="3"/>
  <c r="J28" i="3"/>
  <c r="J114" i="3"/>
  <c r="I71" i="3"/>
  <c r="I115" i="3"/>
  <c r="H72" i="3"/>
  <c r="H29" i="3"/>
  <c r="H115" i="3"/>
  <c r="J72" i="3"/>
  <c r="J29" i="3"/>
  <c r="J115" i="3"/>
  <c r="I72" i="3"/>
  <c r="G28" i="3"/>
  <c r="G31" i="3" s="1"/>
  <c r="G39" i="3"/>
  <c r="J44" i="3"/>
  <c r="H23" i="3"/>
  <c r="H38" i="3" s="1"/>
  <c r="I28" i="3"/>
  <c r="I39" i="3"/>
  <c r="H43" i="3"/>
  <c r="I116" i="3"/>
  <c r="H73" i="3"/>
  <c r="H30" i="3"/>
  <c r="H116" i="3"/>
  <c r="J73" i="3"/>
  <c r="J30" i="3"/>
  <c r="J116" i="3"/>
  <c r="I73" i="3"/>
  <c r="G22" i="3"/>
  <c r="G23" i="3" s="1"/>
  <c r="G38" i="3" s="1"/>
  <c r="J43" i="3"/>
  <c r="I66" i="3"/>
  <c r="I81" i="3" s="1"/>
  <c r="G72" i="3"/>
  <c r="G74" i="3" s="1"/>
  <c r="G85" i="3" s="1"/>
  <c r="G115" i="3"/>
  <c r="I29" i="3"/>
  <c r="H40" i="3"/>
  <c r="H44" i="3"/>
  <c r="J22" i="3"/>
  <c r="J23" i="3" s="1"/>
  <c r="J38" i="3" s="1"/>
  <c r="N62" i="2"/>
  <c r="N19" i="2"/>
  <c r="W14" i="2"/>
  <c r="O130" i="2"/>
  <c r="K130" i="2"/>
  <c r="L129" i="2"/>
  <c r="O126" i="2"/>
  <c r="K126" i="2"/>
  <c r="O125" i="2"/>
  <c r="K125" i="2"/>
  <c r="L108" i="2"/>
  <c r="L109" i="2" s="1"/>
  <c r="L124" i="2" s="1"/>
  <c r="M87" i="2"/>
  <c r="I87" i="2"/>
  <c r="O86" i="2"/>
  <c r="K86" i="2"/>
  <c r="M83" i="2"/>
  <c r="I83" i="2"/>
  <c r="N82" i="2"/>
  <c r="J82" i="2"/>
  <c r="M130" i="2"/>
  <c r="O129" i="2"/>
  <c r="I129" i="2"/>
  <c r="M126" i="2"/>
  <c r="I125" i="2"/>
  <c r="K108" i="2"/>
  <c r="K87" i="2"/>
  <c r="M86" i="2"/>
  <c r="G86" i="2"/>
  <c r="N83" i="2"/>
  <c r="G83" i="2"/>
  <c r="L82" i="2"/>
  <c r="M65" i="2"/>
  <c r="I65" i="2"/>
  <c r="I66" i="2" s="1"/>
  <c r="I81" i="2" s="1"/>
  <c r="M44" i="2"/>
  <c r="I44" i="2"/>
  <c r="O43" i="2"/>
  <c r="K43" i="2"/>
  <c r="M40" i="2"/>
  <c r="I40" i="2"/>
  <c r="N39" i="2"/>
  <c r="J39" i="2"/>
  <c r="I22" i="2"/>
  <c r="I23" i="2" s="1"/>
  <c r="I38" i="2" s="1"/>
  <c r="N130" i="2"/>
  <c r="K129" i="2"/>
  <c r="G126" i="2"/>
  <c r="L125" i="2"/>
  <c r="O108" i="2"/>
  <c r="G108" i="2"/>
  <c r="G109" i="2" s="1"/>
  <c r="G124" i="2" s="1"/>
  <c r="O87" i="2"/>
  <c r="G87" i="2"/>
  <c r="L86" i="2"/>
  <c r="L83" i="2"/>
  <c r="O82" i="2"/>
  <c r="G82" i="2"/>
  <c r="L65" i="2"/>
  <c r="L66" i="2" s="1"/>
  <c r="L81" i="2" s="1"/>
  <c r="K44" i="2"/>
  <c r="M43" i="2"/>
  <c r="G43" i="2"/>
  <c r="G45" i="2" s="1"/>
  <c r="O40" i="2"/>
  <c r="J40" i="2"/>
  <c r="M39" i="2"/>
  <c r="G39" i="2"/>
  <c r="L22" i="2"/>
  <c r="L130" i="2"/>
  <c r="G129" i="2"/>
  <c r="N126" i="2"/>
  <c r="G125" i="2"/>
  <c r="N108" i="2"/>
  <c r="N109" i="2" s="1"/>
  <c r="N124" i="2" s="1"/>
  <c r="N87" i="2"/>
  <c r="J86" i="2"/>
  <c r="K83" i="2"/>
  <c r="M82" i="2"/>
  <c r="K65" i="2"/>
  <c r="O44" i="2"/>
  <c r="J44" i="2"/>
  <c r="L43" i="2"/>
  <c r="N40" i="2"/>
  <c r="G40" i="2"/>
  <c r="L39" i="2"/>
  <c r="K22" i="2"/>
  <c r="K23" i="2" s="1"/>
  <c r="K38" i="2" s="1"/>
  <c r="I130" i="2"/>
  <c r="N129" i="2"/>
  <c r="L126" i="2"/>
  <c r="N125" i="2"/>
  <c r="M108" i="2"/>
  <c r="L87" i="2"/>
  <c r="I86" i="2"/>
  <c r="J83" i="2"/>
  <c r="K82" i="2"/>
  <c r="O65" i="2"/>
  <c r="J65" i="2"/>
  <c r="J66" i="2" s="1"/>
  <c r="J81" i="2" s="1"/>
  <c r="O62" i="2"/>
  <c r="X14" i="2"/>
  <c r="L105" i="2"/>
  <c r="L19" i="2"/>
  <c r="K105" i="2"/>
  <c r="O105" i="2"/>
  <c r="X24" i="2"/>
  <c r="U24" i="2"/>
  <c r="O39" i="2"/>
  <c r="J43" i="2"/>
  <c r="N44" i="2"/>
  <c r="N65" i="2"/>
  <c r="K62" i="2"/>
  <c r="U14" i="2"/>
  <c r="V24" i="2"/>
  <c r="M105" i="2"/>
  <c r="N43" i="2"/>
  <c r="M74" i="2"/>
  <c r="M85" i="2" s="1"/>
  <c r="O83" i="2"/>
  <c r="I126" i="2"/>
  <c r="G130" i="2"/>
  <c r="M19" i="2"/>
  <c r="M62" i="2"/>
  <c r="O114" i="2"/>
  <c r="K114" i="2"/>
  <c r="L114" i="2"/>
  <c r="O71" i="2"/>
  <c r="K71" i="2"/>
  <c r="O28" i="2"/>
  <c r="K28" i="2"/>
  <c r="G114" i="2"/>
  <c r="M71" i="2"/>
  <c r="G71" i="2"/>
  <c r="N28" i="2"/>
  <c r="I28" i="2"/>
  <c r="N114" i="2"/>
  <c r="L71" i="2"/>
  <c r="M28" i="2"/>
  <c r="G28" i="2"/>
  <c r="M114" i="2"/>
  <c r="J71" i="2"/>
  <c r="O115" i="2"/>
  <c r="N72" i="2"/>
  <c r="N29" i="2"/>
  <c r="N115" i="2"/>
  <c r="M115" i="2"/>
  <c r="O29" i="2"/>
  <c r="O72" i="2"/>
  <c r="N23" i="2"/>
  <c r="N38" i="2" s="1"/>
  <c r="O19" i="2"/>
  <c r="O23" i="2" s="1"/>
  <c r="O38" i="2" s="1"/>
  <c r="G22" i="2"/>
  <c r="G23" i="2" s="1"/>
  <c r="G38" i="2" s="1"/>
  <c r="M29" i="2"/>
  <c r="I39" i="2"/>
  <c r="K40" i="2"/>
  <c r="G44" i="2"/>
  <c r="L62" i="2"/>
  <c r="J87" i="2"/>
  <c r="I108" i="2"/>
  <c r="I109" i="2" s="1"/>
  <c r="I124" i="2" s="1"/>
  <c r="M129" i="2"/>
  <c r="J22" i="2"/>
  <c r="J23" i="2" s="1"/>
  <c r="J38" i="2" s="1"/>
  <c r="K39" i="2"/>
  <c r="L40" i="2"/>
  <c r="I43" i="2"/>
  <c r="L44" i="2"/>
  <c r="G65" i="2"/>
  <c r="G66" i="2" s="1"/>
  <c r="G81" i="2" s="1"/>
  <c r="I82" i="2"/>
  <c r="N86" i="2"/>
  <c r="M125" i="2"/>
  <c r="M22" i="2"/>
  <c r="L116" i="2"/>
  <c r="I116" i="2"/>
  <c r="J73" i="2"/>
  <c r="J30" i="2"/>
  <c r="L30" i="2"/>
  <c r="G73" i="2"/>
  <c r="K115" i="2"/>
  <c r="L115" i="2"/>
  <c r="J72" i="2"/>
  <c r="J29" i="2"/>
  <c r="O116" i="2"/>
  <c r="N73" i="2"/>
  <c r="N30" i="2"/>
  <c r="K29" i="2"/>
  <c r="G30" i="2"/>
  <c r="M30" i="2"/>
  <c r="L72" i="2"/>
  <c r="I73" i="2"/>
  <c r="O73" i="2"/>
  <c r="N116" i="2"/>
  <c r="O66" i="2" l="1"/>
  <c r="O81" i="2" s="1"/>
  <c r="M109" i="2"/>
  <c r="M124" i="2" s="1"/>
  <c r="M66" i="2"/>
  <c r="M81" i="2" s="1"/>
  <c r="O109" i="2"/>
  <c r="O124" i="2" s="1"/>
  <c r="G117" i="3"/>
  <c r="G127" i="3" s="1"/>
  <c r="I88" i="3"/>
  <c r="N88" i="2"/>
  <c r="K109" i="2"/>
  <c r="K124" i="2" s="1"/>
  <c r="K74" i="2"/>
  <c r="K84" i="2" s="1"/>
  <c r="O131" i="2"/>
  <c r="H88" i="3"/>
  <c r="G88" i="3"/>
  <c r="L117" i="2"/>
  <c r="L127" i="2" s="1"/>
  <c r="I117" i="2"/>
  <c r="I128" i="2" s="1"/>
  <c r="K117" i="2"/>
  <c r="K127" i="2" s="1"/>
  <c r="J74" i="2"/>
  <c r="J84" i="2" s="1"/>
  <c r="I128" i="4"/>
  <c r="H45" i="3"/>
  <c r="G131" i="3"/>
  <c r="I31" i="3"/>
  <c r="I41" i="3" s="1"/>
  <c r="H131" i="3"/>
  <c r="J45" i="3"/>
  <c r="I45" i="2"/>
  <c r="H31" i="4"/>
  <c r="H42" i="4" s="1"/>
  <c r="O45" i="2"/>
  <c r="G117" i="2"/>
  <c r="G127" i="2" s="1"/>
  <c r="I74" i="2"/>
  <c r="I84" i="2" s="1"/>
  <c r="I31" i="2"/>
  <c r="I42" i="2" s="1"/>
  <c r="M23" i="2"/>
  <c r="M38" i="2" s="1"/>
  <c r="H74" i="3"/>
  <c r="H85" i="3" s="1"/>
  <c r="L31" i="2"/>
  <c r="L41" i="2" s="1"/>
  <c r="J117" i="4"/>
  <c r="J128" i="4" s="1"/>
  <c r="N66" i="2"/>
  <c r="N81" i="2" s="1"/>
  <c r="L23" i="2"/>
  <c r="L38" i="2" s="1"/>
  <c r="K88" i="2"/>
  <c r="N31" i="2"/>
  <c r="I74" i="4"/>
  <c r="I85" i="4" s="1"/>
  <c r="K31" i="2"/>
  <c r="I131" i="4"/>
  <c r="G31" i="4"/>
  <c r="G41" i="4" s="1"/>
  <c r="K66" i="2"/>
  <c r="K81" i="2" s="1"/>
  <c r="G88" i="4"/>
  <c r="I88" i="4"/>
  <c r="I31" i="4"/>
  <c r="I42" i="4" s="1"/>
  <c r="J117" i="3"/>
  <c r="J128" i="3" s="1"/>
  <c r="J31" i="3"/>
  <c r="O31" i="2"/>
  <c r="O88" i="2"/>
  <c r="M131" i="2"/>
  <c r="G74" i="2"/>
  <c r="G84" i="2" s="1"/>
  <c r="H31" i="3"/>
  <c r="H41" i="3" s="1"/>
  <c r="J131" i="4"/>
  <c r="G84" i="4"/>
  <c r="G85" i="4"/>
  <c r="H131" i="4"/>
  <c r="J74" i="4"/>
  <c r="G45" i="4"/>
  <c r="H74" i="4"/>
  <c r="I45" i="4"/>
  <c r="H117" i="4"/>
  <c r="H88" i="4"/>
  <c r="H45" i="4"/>
  <c r="J88" i="4"/>
  <c r="G117" i="4"/>
  <c r="J31" i="4"/>
  <c r="J45" i="4"/>
  <c r="G42" i="3"/>
  <c r="G41" i="3"/>
  <c r="G84" i="3"/>
  <c r="J74" i="3"/>
  <c r="I117" i="3"/>
  <c r="J88" i="3"/>
  <c r="I74" i="3"/>
  <c r="H117" i="3"/>
  <c r="G45" i="3"/>
  <c r="I131" i="3"/>
  <c r="J131" i="3"/>
  <c r="O74" i="2"/>
  <c r="I88" i="2"/>
  <c r="J88" i="2"/>
  <c r="M45" i="2"/>
  <c r="G88" i="2"/>
  <c r="M84" i="2"/>
  <c r="J31" i="2"/>
  <c r="M31" i="2"/>
  <c r="G31" i="2"/>
  <c r="J45" i="2"/>
  <c r="N131" i="2"/>
  <c r="L45" i="2"/>
  <c r="G131" i="2"/>
  <c r="K131" i="2"/>
  <c r="M88" i="2"/>
  <c r="L131" i="2"/>
  <c r="L74" i="2"/>
  <c r="M117" i="2"/>
  <c r="N117" i="2"/>
  <c r="N74" i="2"/>
  <c r="O117" i="2"/>
  <c r="N45" i="2"/>
  <c r="L88" i="2"/>
  <c r="K45" i="2"/>
  <c r="I131" i="2"/>
  <c r="G76" i="3" l="1"/>
  <c r="G78" i="3" s="1"/>
  <c r="G128" i="3"/>
  <c r="K85" i="2"/>
  <c r="J85" i="2"/>
  <c r="J76" i="2" s="1"/>
  <c r="J78" i="2" s="1"/>
  <c r="I127" i="2"/>
  <c r="I119" i="2" s="1"/>
  <c r="I121" i="2" s="1"/>
  <c r="M76" i="2"/>
  <c r="M78" i="2" s="1"/>
  <c r="K128" i="2"/>
  <c r="K119" i="2" s="1"/>
  <c r="K121" i="2" s="1"/>
  <c r="J127" i="3"/>
  <c r="J119" i="3" s="1"/>
  <c r="J121" i="3" s="1"/>
  <c r="I41" i="4"/>
  <c r="I33" i="4" s="1"/>
  <c r="I35" i="4" s="1"/>
  <c r="L128" i="2"/>
  <c r="J127" i="4"/>
  <c r="J119" i="4" s="1"/>
  <c r="J121" i="4" s="1"/>
  <c r="L119" i="2"/>
  <c r="L121" i="2" s="1"/>
  <c r="I119" i="4"/>
  <c r="I121" i="4" s="1"/>
  <c r="G119" i="3"/>
  <c r="G121" i="3" s="1"/>
  <c r="H84" i="3"/>
  <c r="H76" i="3" s="1"/>
  <c r="H78" i="3" s="1"/>
  <c r="I42" i="3"/>
  <c r="I33" i="3" s="1"/>
  <c r="I35" i="3" s="1"/>
  <c r="L42" i="2"/>
  <c r="L33" i="2" s="1"/>
  <c r="L35" i="2" s="1"/>
  <c r="I41" i="2"/>
  <c r="I33" i="2" s="1"/>
  <c r="I35" i="2" s="1"/>
  <c r="I84" i="4"/>
  <c r="I76" i="4" s="1"/>
  <c r="I78" i="4" s="1"/>
  <c r="I85" i="2"/>
  <c r="I76" i="2" s="1"/>
  <c r="I78" i="2" s="1"/>
  <c r="G33" i="3"/>
  <c r="G35" i="3" s="1"/>
  <c r="G128" i="2"/>
  <c r="G119" i="2" s="1"/>
  <c r="G121" i="2" s="1"/>
  <c r="H41" i="4"/>
  <c r="H33" i="4" s="1"/>
  <c r="H35" i="4" s="1"/>
  <c r="K41" i="2"/>
  <c r="K42" i="2"/>
  <c r="O42" i="2"/>
  <c r="O41" i="2"/>
  <c r="O33" i="2" s="1"/>
  <c r="O35" i="2" s="1"/>
  <c r="N42" i="2"/>
  <c r="N41" i="2"/>
  <c r="J41" i="3"/>
  <c r="J42" i="3"/>
  <c r="G85" i="2"/>
  <c r="G76" i="2" s="1"/>
  <c r="G78" i="2" s="1"/>
  <c r="G42" i="4"/>
  <c r="G33" i="4" s="1"/>
  <c r="G35" i="4" s="1"/>
  <c r="H42" i="3"/>
  <c r="H33" i="3" s="1"/>
  <c r="H35" i="3" s="1"/>
  <c r="K76" i="2"/>
  <c r="K78" i="2" s="1"/>
  <c r="G76" i="4"/>
  <c r="G78" i="4" s="1"/>
  <c r="G127" i="4"/>
  <c r="G128" i="4"/>
  <c r="H85" i="4"/>
  <c r="H84" i="4"/>
  <c r="H76" i="4" s="1"/>
  <c r="H78" i="4" s="1"/>
  <c r="J85" i="4"/>
  <c r="J84" i="4"/>
  <c r="J42" i="4"/>
  <c r="J41" i="4"/>
  <c r="J33" i="4" s="1"/>
  <c r="J35" i="4" s="1"/>
  <c r="H127" i="4"/>
  <c r="H128" i="4"/>
  <c r="I128" i="3"/>
  <c r="I127" i="3"/>
  <c r="I119" i="3" s="1"/>
  <c r="I121" i="3" s="1"/>
  <c r="H127" i="3"/>
  <c r="H128" i="3"/>
  <c r="J85" i="3"/>
  <c r="J84" i="3"/>
  <c r="I85" i="3"/>
  <c r="I84" i="3"/>
  <c r="M128" i="2"/>
  <c r="M127" i="2"/>
  <c r="M119" i="2" s="1"/>
  <c r="M121" i="2" s="1"/>
  <c r="G42" i="2"/>
  <c r="G41" i="2"/>
  <c r="O128" i="2"/>
  <c r="O127" i="2"/>
  <c r="O119" i="2" s="1"/>
  <c r="O121" i="2" s="1"/>
  <c r="M41" i="2"/>
  <c r="M42" i="2"/>
  <c r="N85" i="2"/>
  <c r="N84" i="2"/>
  <c r="N76" i="2" s="1"/>
  <c r="N78" i="2" s="1"/>
  <c r="O85" i="2"/>
  <c r="O84" i="2"/>
  <c r="N128" i="2"/>
  <c r="N127" i="2"/>
  <c r="N119" i="2" s="1"/>
  <c r="N121" i="2" s="1"/>
  <c r="L84" i="2"/>
  <c r="L85" i="2"/>
  <c r="J42" i="2"/>
  <c r="J41" i="2"/>
  <c r="J33" i="2" s="1"/>
  <c r="J35" i="2" s="1"/>
  <c r="I76" i="3" l="1"/>
  <c r="I78" i="3" s="1"/>
  <c r="K33" i="2"/>
  <c r="K35" i="2" s="1"/>
  <c r="J76" i="3"/>
  <c r="J78" i="3" s="1"/>
  <c r="O76" i="2"/>
  <c r="O78" i="2" s="1"/>
  <c r="J33" i="3"/>
  <c r="J35" i="3" s="1"/>
  <c r="H119" i="4"/>
  <c r="H121" i="4" s="1"/>
  <c r="G33" i="2"/>
  <c r="G35" i="2" s="1"/>
  <c r="N33" i="2"/>
  <c r="N35" i="2" s="1"/>
  <c r="G119" i="4"/>
  <c r="G121" i="4" s="1"/>
  <c r="J76" i="4"/>
  <c r="J78" i="4" s="1"/>
  <c r="H119" i="3"/>
  <c r="H121" i="3" s="1"/>
  <c r="L76" i="2"/>
  <c r="L78" i="2" s="1"/>
  <c r="M33" i="2"/>
  <c r="M35" i="2" s="1"/>
</calcChain>
</file>

<file path=xl/comments1.xml><?xml version="1.0" encoding="utf-8"?>
<comments xmlns="http://schemas.openxmlformats.org/spreadsheetml/2006/main">
  <authors>
    <author>Ingrid Helene Magnussen</author>
    <author>Fonneløp Jon Erling</author>
  </authors>
  <commentList>
    <comment ref="G19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Forutsatt borehull på 56' eks mva
</t>
        </r>
      </text>
    </comment>
    <comment ref="H19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Forutsatt borehull på 56' eks mva
</t>
        </r>
      </text>
    </comment>
    <comment ref="I19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Forusatt ca 4 brønner a 170 meter
</t>
        </r>
      </text>
    </comment>
    <comment ref="J19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Forusatt ca 8 brønnerl a 170 meter
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Har ikke fått tall for denne kategorien - basert på estimat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Forutsatt borehull på 56' eks mva
</t>
        </r>
      </text>
    </comment>
    <comment ref="H62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Forutsatt borehull på 56' eks mva
</t>
        </r>
      </text>
    </comment>
    <comment ref="I62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Forusatt ca 4 brønner a 170 meter
</t>
        </r>
      </text>
    </comment>
    <comment ref="J62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Forusatt ca 8 brønnerl a 170 meter
</t>
        </r>
      </text>
    </comment>
    <comment ref="L92" authorId="1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Har ikke fått tall for denne,  basert på estimats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R134a kjølemedium</t>
        </r>
      </text>
    </comment>
    <comment ref="H101" authorId="1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R134a kjølemedium</t>
        </r>
      </text>
    </comment>
    <comment ref="I101" authorId="1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tall fra tappevann 50 kW
CO2 kjølemedium</t>
        </r>
      </text>
    </comment>
    <comment ref="K101" authorId="1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R134a kjølemedium</t>
        </r>
      </text>
    </comment>
    <comment ref="M101" authorId="1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NH3 kjølemedium</t>
        </r>
      </text>
    </comment>
    <comment ref="N101" authorId="1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NH3 kjølemedium</t>
        </r>
      </text>
    </comment>
    <comment ref="O101" authorId="1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NH3 kjølemedium</t>
        </r>
      </text>
    </comment>
    <comment ref="G105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Forutsatt borehull på 56' eks mva
</t>
        </r>
      </text>
    </comment>
    <comment ref="H105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Forutsatt borehull på 56' eks mva
</t>
        </r>
      </text>
    </comment>
    <comment ref="I105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Forusatt ca 4 brønner a 170 meter
</t>
        </r>
      </text>
    </comment>
  </commentList>
</comments>
</file>

<file path=xl/comments2.xml><?xml version="1.0" encoding="utf-8"?>
<comments xmlns="http://schemas.openxmlformats.org/spreadsheetml/2006/main">
  <authors>
    <author>Fonneløp Jon Erling</author>
  </authors>
  <commentList>
    <comment ref="G49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Har ikke fått tall for denne kategorien -basert på estimat
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Har ikke fått tall for denne, basert på estimat
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NH3 kjølemedium</t>
        </r>
      </text>
    </comment>
    <comment ref="I101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NH3 kjølemedium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NH3 kjølemedium</t>
        </r>
      </text>
    </comment>
  </commentList>
</comments>
</file>

<file path=xl/comments3.xml><?xml version="1.0" encoding="utf-8"?>
<comments xmlns="http://schemas.openxmlformats.org/spreadsheetml/2006/main">
  <authors>
    <author>Fonneløp Jon Erling</author>
  </authors>
  <commentList>
    <comment ref="G49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Har ikke fått tall for denne kategorien - basert på estimat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Har ikke fått tall for denne, lbasert på estimat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NH3 kjølemedium</t>
        </r>
      </text>
    </comment>
    <comment ref="I101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NH3 kjølemedium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Fonneløp Jon Erling:</t>
        </r>
        <r>
          <rPr>
            <sz val="9"/>
            <color indexed="81"/>
            <rFont val="Tahoma"/>
            <family val="2"/>
          </rPr>
          <t xml:space="preserve">
NH3 kjølemedium</t>
        </r>
      </text>
    </comment>
  </commentList>
</comments>
</file>

<file path=xl/sharedStrings.xml><?xml version="1.0" encoding="utf-8"?>
<sst xmlns="http://schemas.openxmlformats.org/spreadsheetml/2006/main" count="786" uniqueCount="116">
  <si>
    <t>Faste driftskostnader</t>
  </si>
  <si>
    <t>øre/kWh</t>
  </si>
  <si>
    <t>kWh</t>
  </si>
  <si>
    <t>Enhet</t>
  </si>
  <si>
    <t>timer/år</t>
  </si>
  <si>
    <t>Investeringskostnader</t>
  </si>
  <si>
    <t xml:space="preserve">   Byggetidsrenter     </t>
  </si>
  <si>
    <t xml:space="preserve">Sum investeringskostnader </t>
  </si>
  <si>
    <t>Variable kostnader eks brensel</t>
  </si>
  <si>
    <t>Nåverdier</t>
  </si>
  <si>
    <t>øre</t>
  </si>
  <si>
    <t>kWhv</t>
  </si>
  <si>
    <t>Merknad</t>
  </si>
  <si>
    <t>Kilde</t>
  </si>
  <si>
    <t>LCOE 2016</t>
  </si>
  <si>
    <t>LCOE 2035</t>
  </si>
  <si>
    <t>år</t>
  </si>
  <si>
    <t>Byggetid</t>
  </si>
  <si>
    <t>Levetid</t>
  </si>
  <si>
    <t>Degraderingsrate</t>
  </si>
  <si>
    <t>prosent/år</t>
  </si>
  <si>
    <t>enhet</t>
  </si>
  <si>
    <t>prosent</t>
  </si>
  <si>
    <r>
      <t>MW</t>
    </r>
    <r>
      <rPr>
        <b/>
        <sz val="9"/>
        <color theme="0"/>
        <rFont val="Calibri"/>
        <family val="2"/>
        <scheme val="minor"/>
      </rPr>
      <t>v</t>
    </r>
  </si>
  <si>
    <t>Anleggskostnader</t>
  </si>
  <si>
    <t>Installasjon</t>
  </si>
  <si>
    <t>Kraftpris</t>
  </si>
  <si>
    <t>Nettleie</t>
  </si>
  <si>
    <t>El-avgift</t>
  </si>
  <si>
    <t>kr/kWv</t>
  </si>
  <si>
    <r>
      <t>kr/kW</t>
    </r>
    <r>
      <rPr>
        <sz val="9"/>
        <rFont val="Calibri"/>
        <family val="2"/>
        <scheme val="minor"/>
      </rPr>
      <t>v</t>
    </r>
  </si>
  <si>
    <r>
      <t>kr/kW</t>
    </r>
    <r>
      <rPr>
        <sz val="9"/>
        <rFont val="Calibri"/>
        <family val="2"/>
        <scheme val="minor"/>
      </rPr>
      <t>v</t>
    </r>
    <r>
      <rPr>
        <sz val="10"/>
        <rFont val="Calibri"/>
        <family val="2"/>
        <scheme val="minor"/>
      </rPr>
      <t xml:space="preserve"> /år</t>
    </r>
  </si>
  <si>
    <r>
      <t>øre/kWh</t>
    </r>
    <r>
      <rPr>
        <sz val="9"/>
        <rFont val="Calibri"/>
        <family val="2"/>
        <scheme val="minor"/>
      </rPr>
      <t>el</t>
    </r>
  </si>
  <si>
    <t>øre/kWhv</t>
  </si>
  <si>
    <r>
      <t>kWh</t>
    </r>
    <r>
      <rPr>
        <sz val="9"/>
        <rFont val="Calibri"/>
        <family val="2"/>
        <scheme val="minor"/>
      </rPr>
      <t>el</t>
    </r>
    <r>
      <rPr>
        <sz val="10"/>
        <rFont val="Calibri"/>
        <family val="2"/>
        <scheme val="minor"/>
      </rPr>
      <t>/kWh</t>
    </r>
    <r>
      <rPr>
        <sz val="9"/>
        <rFont val="Calibri"/>
        <family val="2"/>
        <scheme val="minor"/>
      </rPr>
      <t>v</t>
    </r>
  </si>
  <si>
    <t>faktor</t>
  </si>
  <si>
    <t>Inflasjon 2013-2016</t>
  </si>
  <si>
    <t>El-avgift husholdninger</t>
  </si>
  <si>
    <t>El-avgift lav sats</t>
  </si>
  <si>
    <t>tappevann</t>
  </si>
  <si>
    <t>Kostnad varmepumpeanlegg</t>
  </si>
  <si>
    <t>kr/enhet</t>
  </si>
  <si>
    <t>Kostnad installasjon</t>
  </si>
  <si>
    <t>kr/installsjon</t>
  </si>
  <si>
    <t>Faktor teknologiforbedring 2016 - 2035</t>
  </si>
  <si>
    <t>forrige kostnadsrapport (norconsult)</t>
  </si>
  <si>
    <t>Byggetid 1MW</t>
  </si>
  <si>
    <t>Innfyllingsfelt</t>
  </si>
  <si>
    <t>Utledet</t>
  </si>
  <si>
    <t>Eptec</t>
  </si>
  <si>
    <t>Diskonteringsrente 0,1 MW</t>
  </si>
  <si>
    <t>Diskonteringsrente 1 MW</t>
  </si>
  <si>
    <t>Bruker tall fra 70 grader, antar kostnader er omtrent like, kun bedre effektfaktor</t>
  </si>
  <si>
    <t>kr</t>
  </si>
  <si>
    <t>dette er kun varmepumpeaggregat - ikke opptakssystem (brønn, sjøvann osv)</t>
  </si>
  <si>
    <t>denne gir ikke helt mening uten opptakssystemet</t>
  </si>
  <si>
    <t>Hentet fra annet sted</t>
  </si>
  <si>
    <t>Tall eks mva</t>
  </si>
  <si>
    <t>SCOP</t>
  </si>
  <si>
    <t>Produsert varme m. degradering (over levetid)</t>
  </si>
  <si>
    <t>Produsert energi m. degradering (over levetid)</t>
  </si>
  <si>
    <t xml:space="preserve">Tilpasning til kjøling </t>
  </si>
  <si>
    <t>Elkjel</t>
  </si>
  <si>
    <t>A. Utgangstemperatur 50 °C,  MWv</t>
  </si>
  <si>
    <t xml:space="preserve">Varmeopptakssystem (meter energibrønn) </t>
  </si>
  <si>
    <t>Brønnkostnad (kr/m)</t>
  </si>
  <si>
    <t>Totaltkostnad brønnsystem (kr)</t>
  </si>
  <si>
    <t>Energibrønn komplett</t>
  </si>
  <si>
    <t>Varmepumpe</t>
  </si>
  <si>
    <t>Tilpasning til kjøling</t>
  </si>
  <si>
    <t>VP-spesifikke kostnader (el/pumper/rør etc)</t>
  </si>
  <si>
    <t>Sum</t>
  </si>
  <si>
    <t>B. Utgangstemperatur 70 °C, MWv</t>
  </si>
  <si>
    <t>Brukt tall fra KR 2015.</t>
  </si>
  <si>
    <t>m</t>
  </si>
  <si>
    <t>kr/m</t>
  </si>
  <si>
    <t>Kapasitet El-kjel</t>
  </si>
  <si>
    <t>Effektfaktor varmepumpe kjøling</t>
  </si>
  <si>
    <t>Virkningsgrad El-kjel topplast</t>
  </si>
  <si>
    <t>Fullasttimer varmepumpe varme</t>
  </si>
  <si>
    <t>Fullastimer varmepumpe kjøling</t>
  </si>
  <si>
    <t>Fullasttimer elkjel</t>
  </si>
  <si>
    <t>Ytelse varmepumpe</t>
  </si>
  <si>
    <t>Spesifikt brenselforbruk VP varme</t>
  </si>
  <si>
    <t>Spesifikt brenselforbruk VP kjøling</t>
  </si>
  <si>
    <t>Spesifikt brenselforbruk elkjel</t>
  </si>
  <si>
    <t>Produsert kjøling m. degradering (over levetid)</t>
  </si>
  <si>
    <t>Brensekostnad varme</t>
  </si>
  <si>
    <t>Brensekostnad kjøling</t>
  </si>
  <si>
    <t>Brenselspris inkl elavgift</t>
  </si>
  <si>
    <t>Sjøvannsinntak</t>
  </si>
  <si>
    <t>Anleggskostnader varmepumpe</t>
  </si>
  <si>
    <t>Energibrønn</t>
  </si>
  <si>
    <t>Grunnvannsinntak</t>
  </si>
  <si>
    <t>Varmepumpe væske til vann 35 grader</t>
  </si>
  <si>
    <t>Varmepumpe væske til vann 55 grader</t>
  </si>
  <si>
    <t>Varmepumpe væske til vann 70 grader</t>
  </si>
  <si>
    <t>Varmepumpe væske tilvann 35 grader</t>
  </si>
  <si>
    <t>Varmepumpe væske tilvann 55 grader</t>
  </si>
  <si>
    <t xml:space="preserve">Anslått, basert på effektfaktor fra 55C-pumpene. </t>
  </si>
  <si>
    <t>Brukt tall fra KR 2015. fått bekreftet fra bransje</t>
  </si>
  <si>
    <t>Har brukt tall for 50 C fra KR 2015</t>
  </si>
  <si>
    <t>Fra KR 2015,  tallene verifisert i 2017 av bransjeaktør</t>
  </si>
  <si>
    <t>Brukt tall fra KR 2015. Antatt samme kostnader som for 50 grader</t>
  </si>
  <si>
    <t>Brukt tall fra KR 2015. Antatt samme kostnader som for 50 grader. Antatt at små anlegg har samme kostnad som større</t>
  </si>
  <si>
    <t>Bransjeaktør.  flat effekt på de største</t>
  </si>
  <si>
    <t>Fra KR 2015</t>
  </si>
  <si>
    <t>Bransjeaktør,  ekskl mva</t>
  </si>
  <si>
    <t>Bransjeaktør</t>
  </si>
  <si>
    <t>Brukt tall fra KR 2015. Antatt samme kostnader som for 70 grader</t>
  </si>
  <si>
    <t>KR 2015</t>
  </si>
  <si>
    <t>Bransjeaktør, ekskl mva</t>
  </si>
  <si>
    <t>Dette er kun varmepumpeaggregat - ikke opptakssystem (brønn, sjøvann osv)</t>
  </si>
  <si>
    <t>inkl.mva.</t>
  </si>
  <si>
    <t>inkl. mva</t>
  </si>
  <si>
    <t>mva.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</si>
</sst>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_ * #,##0_ ;_ * \-#,##0_ ;_ * &quot;-&quot;??_ ;_ @_ "/>
    <numFmt numFmtId="168" formatCode="#,##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color rgb="FFFFFFFF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</font>
    <font>
      <sz val="10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0"/>
      <color theme="2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65">
    <xf numFmtId="0" fontId="0" fillId="0" borderId="0" xfId="0"/>
    <xf numFmtId="164" fontId="4" fillId="0" borderId="3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right"/>
    </xf>
    <xf numFmtId="164" fontId="4" fillId="0" borderId="4" xfId="1" applyFont="1" applyFill="1" applyBorder="1"/>
    <xf numFmtId="164" fontId="4" fillId="0" borderId="6" xfId="1" applyFont="1" applyFill="1" applyBorder="1" applyAlignment="1">
      <alignment horizontal="right"/>
    </xf>
    <xf numFmtId="165" fontId="7" fillId="0" borderId="7" xfId="0" applyNumberFormat="1" applyFont="1" applyFill="1" applyBorder="1"/>
    <xf numFmtId="0" fontId="4" fillId="0" borderId="0" xfId="0" applyFont="1"/>
    <xf numFmtId="165" fontId="9" fillId="0" borderId="0" xfId="1" applyNumberFormat="1" applyFont="1" applyFill="1" applyBorder="1"/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5" fillId="2" borderId="8" xfId="0" applyFont="1" applyFill="1" applyBorder="1"/>
    <xf numFmtId="0" fontId="5" fillId="2" borderId="9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4" borderId="0" xfId="0" applyFill="1"/>
    <xf numFmtId="2" fontId="4" fillId="0" borderId="0" xfId="0" applyNumberFormat="1" applyFont="1" applyBorder="1"/>
    <xf numFmtId="166" fontId="2" fillId="0" borderId="0" xfId="3" applyNumberFormat="1" applyFont="1" applyBorder="1"/>
    <xf numFmtId="164" fontId="5" fillId="4" borderId="0" xfId="1" applyFont="1" applyFill="1" applyBorder="1"/>
    <xf numFmtId="165" fontId="7" fillId="0" borderId="10" xfId="0" applyNumberFormat="1" applyFont="1" applyFill="1" applyBorder="1"/>
    <xf numFmtId="164" fontId="12" fillId="0" borderId="3" xfId="1" applyFont="1" applyFill="1" applyBorder="1" applyAlignment="1">
      <alignment horizontal="right"/>
    </xf>
    <xf numFmtId="0" fontId="2" fillId="0" borderId="0" xfId="0" applyFont="1"/>
    <xf numFmtId="0" fontId="5" fillId="2" borderId="11" xfId="0" applyFont="1" applyFill="1" applyBorder="1"/>
    <xf numFmtId="2" fontId="2" fillId="0" borderId="0" xfId="0" applyNumberFormat="1" applyFont="1"/>
    <xf numFmtId="164" fontId="5" fillId="4" borderId="4" xfId="1" applyFont="1" applyFill="1" applyBorder="1"/>
    <xf numFmtId="164" fontId="5" fillId="4" borderId="3" xfId="1" applyFont="1" applyFill="1" applyBorder="1" applyAlignment="1">
      <alignment horizontal="right"/>
    </xf>
    <xf numFmtId="0" fontId="6" fillId="4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164" fontId="7" fillId="0" borderId="16" xfId="1" applyFont="1" applyFill="1" applyBorder="1"/>
    <xf numFmtId="164" fontId="7" fillId="0" borderId="4" xfId="1" applyFont="1" applyFill="1" applyBorder="1"/>
    <xf numFmtId="164" fontId="4" fillId="0" borderId="4" xfId="1" applyFont="1" applyFill="1" applyBorder="1" applyAlignment="1">
      <alignment horizontal="left" indent="1"/>
    </xf>
    <xf numFmtId="167" fontId="2" fillId="3" borderId="3" xfId="4" applyNumberFormat="1" applyFont="1" applyFill="1" applyBorder="1"/>
    <xf numFmtId="167" fontId="2" fillId="3" borderId="15" xfId="4" applyNumberFormat="1" applyFont="1" applyFill="1" applyBorder="1"/>
    <xf numFmtId="3" fontId="4" fillId="3" borderId="3" xfId="1" applyNumberFormat="1" applyFont="1" applyFill="1" applyBorder="1"/>
    <xf numFmtId="3" fontId="4" fillId="3" borderId="15" xfId="1" applyNumberFormat="1" applyFont="1" applyFill="1" applyBorder="1"/>
    <xf numFmtId="3" fontId="4" fillId="0" borderId="3" xfId="1" applyNumberFormat="1" applyFont="1" applyFill="1" applyBorder="1"/>
    <xf numFmtId="3" fontId="4" fillId="0" borderId="15" xfId="1" applyNumberFormat="1" applyFont="1" applyFill="1" applyBorder="1"/>
    <xf numFmtId="3" fontId="4" fillId="0" borderId="2" xfId="2" applyNumberFormat="1" applyFont="1" applyFill="1" applyBorder="1"/>
    <xf numFmtId="3" fontId="4" fillId="0" borderId="17" xfId="2" applyNumberFormat="1" applyFont="1" applyFill="1" applyBorder="1"/>
    <xf numFmtId="165" fontId="4" fillId="0" borderId="3" xfId="2" applyNumberFormat="1" applyFont="1" applyFill="1" applyBorder="1"/>
    <xf numFmtId="165" fontId="4" fillId="0" borderId="15" xfId="2" applyNumberFormat="1" applyFont="1" applyFill="1" applyBorder="1"/>
    <xf numFmtId="164" fontId="7" fillId="0" borderId="18" xfId="1" applyFont="1" applyFill="1" applyBorder="1"/>
    <xf numFmtId="164" fontId="12" fillId="0" borderId="1" xfId="1" applyFont="1" applyFill="1" applyBorder="1" applyAlignment="1">
      <alignment horizontal="right"/>
    </xf>
    <xf numFmtId="164" fontId="7" fillId="0" borderId="19" xfId="1" applyFont="1" applyFill="1" applyBorder="1"/>
    <xf numFmtId="164" fontId="12" fillId="0" borderId="20" xfId="1" applyFont="1" applyFill="1" applyBorder="1" applyAlignment="1">
      <alignment horizontal="right"/>
    </xf>
    <xf numFmtId="165" fontId="7" fillId="0" borderId="20" xfId="0" applyNumberFormat="1" applyFont="1" applyFill="1" applyBorder="1"/>
    <xf numFmtId="164" fontId="4" fillId="0" borderId="16" xfId="1" applyFont="1" applyFill="1" applyBorder="1"/>
    <xf numFmtId="164" fontId="7" fillId="0" borderId="2" xfId="1" applyFont="1" applyFill="1" applyBorder="1" applyAlignment="1">
      <alignment horizontal="right"/>
    </xf>
    <xf numFmtId="164" fontId="7" fillId="0" borderId="22" xfId="1" applyFont="1" applyFill="1" applyBorder="1"/>
    <xf numFmtId="164" fontId="12" fillId="0" borderId="7" xfId="1" applyFont="1" applyFill="1" applyBorder="1" applyAlignment="1">
      <alignment horizontal="right"/>
    </xf>
    <xf numFmtId="164" fontId="7" fillId="0" borderId="1" xfId="1" applyFont="1" applyFill="1" applyBorder="1"/>
    <xf numFmtId="0" fontId="7" fillId="0" borderId="1" xfId="0" applyFont="1" applyBorder="1" applyAlignment="1">
      <alignment horizontal="right"/>
    </xf>
    <xf numFmtId="0" fontId="7" fillId="0" borderId="2" xfId="0" applyFont="1" applyBorder="1"/>
    <xf numFmtId="0" fontId="7" fillId="0" borderId="1" xfId="0" applyFont="1" applyBorder="1"/>
    <xf numFmtId="164" fontId="4" fillId="0" borderId="1" xfId="0" applyNumberFormat="1" applyFont="1" applyBorder="1"/>
    <xf numFmtId="167" fontId="4" fillId="0" borderId="1" xfId="4" applyNumberFormat="1" applyFont="1" applyBorder="1"/>
    <xf numFmtId="164" fontId="4" fillId="0" borderId="3" xfId="0" applyNumberFormat="1" applyFont="1" applyBorder="1"/>
    <xf numFmtId="167" fontId="4" fillId="0" borderId="3" xfId="4" applyNumberFormat="1" applyFont="1" applyBorder="1"/>
    <xf numFmtId="167" fontId="9" fillId="0" borderId="3" xfId="4" applyNumberFormat="1" applyFont="1" applyBorder="1"/>
    <xf numFmtId="167" fontId="2" fillId="0" borderId="6" xfId="4" applyNumberFormat="1" applyFont="1" applyBorder="1"/>
    <xf numFmtId="0" fontId="13" fillId="5" borderId="5" xfId="0" applyFont="1" applyFill="1" applyBorder="1" applyAlignment="1">
      <alignment horizontal="center"/>
    </xf>
    <xf numFmtId="167" fontId="2" fillId="3" borderId="5" xfId="4" applyNumberFormat="1" applyFont="1" applyFill="1" applyBorder="1"/>
    <xf numFmtId="3" fontId="4" fillId="3" borderId="5" xfId="1" applyNumberFormat="1" applyFont="1" applyFill="1" applyBorder="1"/>
    <xf numFmtId="3" fontId="4" fillId="3" borderId="6" xfId="1" applyNumberFormat="1" applyFont="1" applyFill="1" applyBorder="1"/>
    <xf numFmtId="3" fontId="4" fillId="3" borderId="23" xfId="1" applyNumberFormat="1" applyFont="1" applyFill="1" applyBorder="1"/>
    <xf numFmtId="3" fontId="4" fillId="3" borderId="24" xfId="1" applyNumberFormat="1" applyFont="1" applyFill="1" applyBorder="1"/>
    <xf numFmtId="165" fontId="4" fillId="0" borderId="6" xfId="2" applyNumberFormat="1" applyFont="1" applyFill="1" applyBorder="1"/>
    <xf numFmtId="165" fontId="4" fillId="0" borderId="24" xfId="2" applyNumberFormat="1" applyFont="1" applyFill="1" applyBorder="1"/>
    <xf numFmtId="167" fontId="2" fillId="3" borderId="2" xfId="4" applyNumberFormat="1" applyFont="1" applyFill="1" applyBorder="1"/>
    <xf numFmtId="167" fontId="4" fillId="6" borderId="2" xfId="4" applyNumberFormat="1" applyFont="1" applyFill="1" applyBorder="1"/>
    <xf numFmtId="0" fontId="2" fillId="0" borderId="2" xfId="0" applyFont="1" applyBorder="1"/>
    <xf numFmtId="167" fontId="19" fillId="3" borderId="3" xfId="4" applyNumberFormat="1" applyFont="1" applyFill="1" applyBorder="1"/>
    <xf numFmtId="167" fontId="19" fillId="3" borderId="5" xfId="4" applyNumberFormat="1" applyFont="1" applyFill="1" applyBorder="1"/>
    <xf numFmtId="3" fontId="4" fillId="0" borderId="0" xfId="2" applyNumberFormat="1" applyFont="1" applyFill="1" applyBorder="1"/>
    <xf numFmtId="167" fontId="4" fillId="0" borderId="3" xfId="4" applyNumberFormat="1" applyFont="1" applyFill="1" applyBorder="1"/>
    <xf numFmtId="164" fontId="7" fillId="0" borderId="3" xfId="1" applyFont="1" applyFill="1" applyBorder="1"/>
    <xf numFmtId="164" fontId="4" fillId="0" borderId="3" xfId="1" applyFont="1" applyFill="1" applyBorder="1"/>
    <xf numFmtId="164" fontId="4" fillId="0" borderId="5" xfId="1" applyFont="1" applyFill="1" applyBorder="1"/>
    <xf numFmtId="164" fontId="7" fillId="0" borderId="15" xfId="1" applyFont="1" applyFill="1" applyBorder="1"/>
    <xf numFmtId="165" fontId="4" fillId="6" borderId="3" xfId="1" applyNumberFormat="1" applyFont="1" applyFill="1" applyBorder="1"/>
    <xf numFmtId="165" fontId="4" fillId="6" borderId="15" xfId="1" applyNumberFormat="1" applyFont="1" applyFill="1" applyBorder="1"/>
    <xf numFmtId="3" fontId="4" fillId="6" borderId="3" xfId="1" applyNumberFormat="1" applyFont="1" applyFill="1" applyBorder="1"/>
    <xf numFmtId="3" fontId="4" fillId="6" borderId="15" xfId="1" applyNumberFormat="1" applyFont="1" applyFill="1" applyBorder="1"/>
    <xf numFmtId="164" fontId="5" fillId="4" borderId="25" xfId="1" applyFont="1" applyFill="1" applyBorder="1"/>
    <xf numFmtId="164" fontId="5" fillId="4" borderId="26" xfId="1" applyFont="1" applyFill="1" applyBorder="1" applyAlignment="1">
      <alignment horizontal="right"/>
    </xf>
    <xf numFmtId="0" fontId="6" fillId="4" borderId="26" xfId="0" applyFont="1" applyFill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167" fontId="4" fillId="0" borderId="15" xfId="4" applyNumberFormat="1" applyFont="1" applyFill="1" applyBorder="1"/>
    <xf numFmtId="167" fontId="18" fillId="0" borderId="3" xfId="4" applyNumberFormat="1" applyFont="1" applyFill="1" applyBorder="1"/>
    <xf numFmtId="164" fontId="7" fillId="0" borderId="3" xfId="1" applyFont="1" applyFill="1" applyBorder="1" applyAlignment="1">
      <alignment horizontal="right"/>
    </xf>
    <xf numFmtId="164" fontId="18" fillId="0" borderId="3" xfId="1" applyFont="1" applyFill="1" applyBorder="1"/>
    <xf numFmtId="168" fontId="4" fillId="6" borderId="3" xfId="1" applyNumberFormat="1" applyFont="1" applyFill="1" applyBorder="1"/>
    <xf numFmtId="168" fontId="4" fillId="6" borderId="15" xfId="1" applyNumberFormat="1" applyFont="1" applyFill="1" applyBorder="1"/>
    <xf numFmtId="0" fontId="0" fillId="3" borderId="0" xfId="0" applyFill="1"/>
    <xf numFmtId="164" fontId="9" fillId="0" borderId="3" xfId="0" applyNumberFormat="1" applyFont="1" applyBorder="1"/>
    <xf numFmtId="0" fontId="9" fillId="0" borderId="3" xfId="0" applyFont="1" applyBorder="1" applyAlignment="1">
      <alignment horizontal="right"/>
    </xf>
    <xf numFmtId="0" fontId="4" fillId="0" borderId="6" xfId="0" applyFont="1" applyBorder="1"/>
    <xf numFmtId="0" fontId="0" fillId="0" borderId="0" xfId="0" applyFill="1" applyBorder="1"/>
    <xf numFmtId="164" fontId="5" fillId="0" borderId="0" xfId="1" applyFont="1" applyFill="1" applyBorder="1"/>
    <xf numFmtId="0" fontId="5" fillId="7" borderId="30" xfId="0" applyFont="1" applyFill="1" applyBorder="1" applyAlignment="1"/>
    <xf numFmtId="0" fontId="5" fillId="7" borderId="31" xfId="0" applyFont="1" applyFill="1" applyBorder="1" applyAlignment="1"/>
    <xf numFmtId="0" fontId="5" fillId="7" borderId="32" xfId="0" applyFont="1" applyFill="1" applyBorder="1" applyAlignment="1"/>
    <xf numFmtId="164" fontId="5" fillId="7" borderId="7" xfId="1" applyFont="1" applyFill="1" applyBorder="1" applyAlignment="1">
      <alignment horizontal="right"/>
    </xf>
    <xf numFmtId="164" fontId="5" fillId="7" borderId="10" xfId="1" applyFont="1" applyFill="1" applyBorder="1" applyAlignment="1">
      <alignment horizontal="right"/>
    </xf>
    <xf numFmtId="3" fontId="4" fillId="8" borderId="20" xfId="5" applyNumberFormat="1" applyFont="1" applyFill="1" applyBorder="1"/>
    <xf numFmtId="3" fontId="4" fillId="8" borderId="21" xfId="5" applyNumberFormat="1" applyFont="1" applyFill="1" applyBorder="1"/>
    <xf numFmtId="0" fontId="4" fillId="0" borderId="16" xfId="0" applyFont="1" applyFill="1" applyBorder="1"/>
    <xf numFmtId="3" fontId="4" fillId="8" borderId="2" xfId="5" applyNumberFormat="1" applyFont="1" applyFill="1" applyBorder="1"/>
    <xf numFmtId="3" fontId="4" fillId="8" borderId="17" xfId="5" applyNumberFormat="1" applyFont="1" applyFill="1" applyBorder="1"/>
    <xf numFmtId="0" fontId="4" fillId="0" borderId="16" xfId="0" applyFont="1" applyBorder="1"/>
    <xf numFmtId="3" fontId="4" fillId="8" borderId="2" xfId="0" applyNumberFormat="1" applyFont="1" applyFill="1" applyBorder="1"/>
    <xf numFmtId="3" fontId="4" fillId="8" borderId="17" xfId="0" applyNumberFormat="1" applyFont="1" applyFill="1" applyBorder="1"/>
    <xf numFmtId="3" fontId="4" fillId="8" borderId="2" xfId="1" applyNumberFormat="1" applyFont="1" applyFill="1" applyBorder="1"/>
    <xf numFmtId="3" fontId="4" fillId="8" borderId="17" xfId="1" applyNumberFormat="1" applyFont="1" applyFill="1" applyBorder="1"/>
    <xf numFmtId="0" fontId="7" fillId="0" borderId="22" xfId="0" applyFont="1" applyBorder="1"/>
    <xf numFmtId="3" fontId="7" fillId="0" borderId="0" xfId="0" applyNumberFormat="1" applyFont="1" applyBorder="1"/>
    <xf numFmtId="3" fontId="7" fillId="0" borderId="29" xfId="0" applyNumberFormat="1" applyFont="1" applyBorder="1"/>
    <xf numFmtId="164" fontId="5" fillId="7" borderId="20" xfId="1" applyFont="1" applyFill="1" applyBorder="1" applyAlignment="1">
      <alignment horizontal="right"/>
    </xf>
    <xf numFmtId="164" fontId="5" fillId="7" borderId="21" xfId="1" applyFont="1" applyFill="1" applyBorder="1" applyAlignment="1">
      <alignment horizontal="right"/>
    </xf>
    <xf numFmtId="3" fontId="7" fillId="8" borderId="7" xfId="0" applyNumberFormat="1" applyFont="1" applyFill="1" applyBorder="1"/>
    <xf numFmtId="3" fontId="7" fillId="8" borderId="10" xfId="0" applyNumberFormat="1" applyFont="1" applyFill="1" applyBorder="1"/>
    <xf numFmtId="0" fontId="21" fillId="0" borderId="16" xfId="0" applyFont="1" applyBorder="1"/>
    <xf numFmtId="3" fontId="21" fillId="8" borderId="2" xfId="5" applyNumberFormat="1" applyFont="1" applyFill="1" applyBorder="1"/>
    <xf numFmtId="3" fontId="21" fillId="8" borderId="17" xfId="5" applyNumberFormat="1" applyFont="1" applyFill="1" applyBorder="1"/>
    <xf numFmtId="3" fontId="21" fillId="8" borderId="2" xfId="0" applyNumberFormat="1" applyFont="1" applyFill="1" applyBorder="1"/>
    <xf numFmtId="3" fontId="21" fillId="8" borderId="17" xfId="0" applyNumberFormat="1" applyFont="1" applyFill="1" applyBorder="1"/>
    <xf numFmtId="164" fontId="5" fillId="7" borderId="34" xfId="1" applyFont="1" applyFill="1" applyBorder="1" applyAlignment="1">
      <alignment horizontal="right"/>
    </xf>
    <xf numFmtId="3" fontId="4" fillId="8" borderId="35" xfId="5" applyNumberFormat="1" applyFont="1" applyFill="1" applyBorder="1"/>
    <xf numFmtId="3" fontId="4" fillId="8" borderId="36" xfId="5" applyNumberFormat="1" applyFont="1" applyFill="1" applyBorder="1"/>
    <xf numFmtId="3" fontId="4" fillId="8" borderId="36" xfId="0" applyNumberFormat="1" applyFont="1" applyFill="1" applyBorder="1"/>
    <xf numFmtId="3" fontId="4" fillId="8" borderId="36" xfId="1" applyNumberFormat="1" applyFont="1" applyFill="1" applyBorder="1"/>
    <xf numFmtId="3" fontId="21" fillId="8" borderId="36" xfId="5" applyNumberFormat="1" applyFont="1" applyFill="1" applyBorder="1"/>
    <xf numFmtId="3" fontId="21" fillId="8" borderId="36" xfId="0" applyNumberFormat="1" applyFont="1" applyFill="1" applyBorder="1"/>
    <xf numFmtId="0" fontId="4" fillId="0" borderId="20" xfId="0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164" fontId="4" fillId="8" borderId="2" xfId="1" applyFont="1" applyFill="1" applyBorder="1" applyAlignment="1">
      <alignment horizontal="right"/>
    </xf>
    <xf numFmtId="164" fontId="4" fillId="8" borderId="7" xfId="1" applyFont="1" applyFill="1" applyBorder="1" applyAlignment="1">
      <alignment horizontal="right"/>
    </xf>
    <xf numFmtId="168" fontId="4" fillId="3" borderId="1" xfId="1" applyNumberFormat="1" applyFont="1" applyFill="1" applyBorder="1"/>
    <xf numFmtId="168" fontId="4" fillId="3" borderId="39" xfId="1" applyNumberFormat="1" applyFont="1" applyFill="1" applyBorder="1"/>
    <xf numFmtId="167" fontId="4" fillId="3" borderId="3" xfId="4" applyNumberFormat="1" applyFont="1" applyFill="1" applyBorder="1"/>
    <xf numFmtId="164" fontId="4" fillId="3" borderId="3" xfId="1" applyFont="1" applyFill="1" applyBorder="1"/>
    <xf numFmtId="164" fontId="4" fillId="3" borderId="5" xfId="1" applyFont="1" applyFill="1" applyBorder="1"/>
    <xf numFmtId="167" fontId="4" fillId="3" borderId="15" xfId="4" applyNumberFormat="1" applyFont="1" applyFill="1" applyBorder="1"/>
    <xf numFmtId="164" fontId="4" fillId="3" borderId="23" xfId="1" applyFont="1" applyFill="1" applyBorder="1"/>
    <xf numFmtId="164" fontId="4" fillId="0" borderId="18" xfId="1" applyFont="1" applyFill="1" applyBorder="1"/>
    <xf numFmtId="4" fontId="4" fillId="3" borderId="6" xfId="1" applyNumberFormat="1" applyFont="1" applyFill="1" applyBorder="1"/>
    <xf numFmtId="4" fontId="4" fillId="3" borderId="23" xfId="1" applyNumberFormat="1" applyFont="1" applyFill="1" applyBorder="1"/>
    <xf numFmtId="0" fontId="6" fillId="4" borderId="3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2" fontId="4" fillId="0" borderId="3" xfId="2" applyNumberFormat="1" applyFont="1" applyFill="1" applyBorder="1"/>
    <xf numFmtId="164" fontId="4" fillId="3" borderId="15" xfId="1" applyFont="1" applyFill="1" applyBorder="1"/>
    <xf numFmtId="0" fontId="20" fillId="0" borderId="0" xfId="0" applyFont="1"/>
    <xf numFmtId="168" fontId="4" fillId="3" borderId="6" xfId="1" applyNumberFormat="1" applyFont="1" applyFill="1" applyBorder="1"/>
    <xf numFmtId="168" fontId="4" fillId="3" borderId="23" xfId="1" applyNumberFormat="1" applyFont="1" applyFill="1" applyBorder="1"/>
    <xf numFmtId="164" fontId="5" fillId="4" borderId="1" xfId="1" applyFont="1" applyFill="1" applyBorder="1"/>
    <xf numFmtId="164" fontId="5" fillId="4" borderId="3" xfId="1" applyFont="1" applyFill="1" applyBorder="1"/>
    <xf numFmtId="164" fontId="5" fillId="4" borderId="1" xfId="1" applyFont="1" applyFill="1" applyBorder="1" applyAlignment="1">
      <alignment horizontal="right"/>
    </xf>
    <xf numFmtId="0" fontId="0" fillId="0" borderId="1" xfId="0" applyFill="1" applyBorder="1"/>
    <xf numFmtId="0" fontId="0" fillId="0" borderId="3" xfId="0" applyFill="1" applyBorder="1"/>
    <xf numFmtId="0" fontId="0" fillId="0" borderId="6" xfId="0" applyFill="1" applyBorder="1"/>
    <xf numFmtId="0" fontId="2" fillId="0" borderId="3" xfId="0" applyFont="1" applyFill="1" applyBorder="1"/>
    <xf numFmtId="164" fontId="7" fillId="0" borderId="33" xfId="1" applyFont="1" applyFill="1" applyBorder="1"/>
    <xf numFmtId="4" fontId="4" fillId="3" borderId="24" xfId="1" applyNumberFormat="1" applyFont="1" applyFill="1" applyBorder="1"/>
    <xf numFmtId="164" fontId="4" fillId="3" borderId="24" xfId="1" applyFont="1" applyFill="1" applyBorder="1"/>
    <xf numFmtId="2" fontId="4" fillId="0" borderId="15" xfId="2" applyNumberFormat="1" applyFont="1" applyFill="1" applyBorder="1"/>
    <xf numFmtId="164" fontId="4" fillId="0" borderId="25" xfId="1" applyFont="1" applyFill="1" applyBorder="1"/>
    <xf numFmtId="0" fontId="0" fillId="0" borderId="26" xfId="0" applyFill="1" applyBorder="1"/>
    <xf numFmtId="168" fontId="4" fillId="3" borderId="26" xfId="1" applyNumberFormat="1" applyFont="1" applyFill="1" applyBorder="1"/>
    <xf numFmtId="168" fontId="4" fillId="3" borderId="28" xfId="1" applyNumberFormat="1" applyFont="1" applyFill="1" applyBorder="1"/>
    <xf numFmtId="0" fontId="6" fillId="4" borderId="26" xfId="0" applyFont="1" applyFill="1" applyBorder="1" applyAlignment="1">
      <alignment horizontal="right"/>
    </xf>
    <xf numFmtId="0" fontId="6" fillId="4" borderId="27" xfId="0" applyFont="1" applyFill="1" applyBorder="1" applyAlignment="1">
      <alignment horizontal="right"/>
    </xf>
    <xf numFmtId="0" fontId="6" fillId="4" borderId="28" xfId="0" applyFont="1" applyFill="1" applyBorder="1" applyAlignment="1">
      <alignment horizontal="right"/>
    </xf>
    <xf numFmtId="168" fontId="4" fillId="3" borderId="24" xfId="1" applyNumberFormat="1" applyFont="1" applyFill="1" applyBorder="1"/>
    <xf numFmtId="168" fontId="4" fillId="3" borderId="3" xfId="1" applyNumberFormat="1" applyFont="1" applyFill="1" applyBorder="1"/>
    <xf numFmtId="4" fontId="4" fillId="3" borderId="2" xfId="1" applyNumberFormat="1" applyFont="1" applyFill="1" applyBorder="1"/>
    <xf numFmtId="167" fontId="4" fillId="0" borderId="3" xfId="4" applyNumberFormat="1" applyFont="1" applyFill="1" applyBorder="1" applyAlignment="1">
      <alignment horizontal="right"/>
    </xf>
    <xf numFmtId="0" fontId="2" fillId="0" borderId="0" xfId="0" applyFont="1" applyFill="1" applyBorder="1"/>
    <xf numFmtId="168" fontId="21" fillId="3" borderId="1" xfId="1" applyNumberFormat="1" applyFont="1" applyFill="1" applyBorder="1"/>
    <xf numFmtId="3" fontId="21" fillId="3" borderId="3" xfId="1" applyNumberFormat="1" applyFont="1" applyFill="1" applyBorder="1"/>
    <xf numFmtId="4" fontId="21" fillId="3" borderId="23" xfId="1" applyNumberFormat="1" applyFont="1" applyFill="1" applyBorder="1"/>
    <xf numFmtId="164" fontId="21" fillId="3" borderId="5" xfId="1" applyFont="1" applyFill="1" applyBorder="1"/>
    <xf numFmtId="164" fontId="21" fillId="3" borderId="23" xfId="1" applyFont="1" applyFill="1" applyBorder="1"/>
    <xf numFmtId="167" fontId="21" fillId="0" borderId="3" xfId="4" applyNumberFormat="1" applyFont="1" applyFill="1" applyBorder="1"/>
    <xf numFmtId="3" fontId="21" fillId="0" borderId="3" xfId="1" applyNumberFormat="1" applyFont="1" applyFill="1" applyBorder="1"/>
    <xf numFmtId="3" fontId="21" fillId="0" borderId="2" xfId="2" applyNumberFormat="1" applyFont="1" applyFill="1" applyBorder="1"/>
    <xf numFmtId="3" fontId="21" fillId="3" borderId="5" xfId="1" applyNumberFormat="1" applyFont="1" applyFill="1" applyBorder="1"/>
    <xf numFmtId="165" fontId="21" fillId="0" borderId="3" xfId="2" applyNumberFormat="1" applyFont="1" applyFill="1" applyBorder="1"/>
    <xf numFmtId="2" fontId="21" fillId="0" borderId="3" xfId="2" applyNumberFormat="1" applyFont="1" applyFill="1" applyBorder="1"/>
    <xf numFmtId="165" fontId="21" fillId="6" borderId="3" xfId="1" applyNumberFormat="1" applyFont="1" applyFill="1" applyBorder="1"/>
    <xf numFmtId="165" fontId="21" fillId="0" borderId="6" xfId="2" applyNumberFormat="1" applyFont="1" applyFill="1" applyBorder="1"/>
    <xf numFmtId="168" fontId="21" fillId="3" borderId="23" xfId="1" applyNumberFormat="1" applyFont="1" applyFill="1" applyBorder="1"/>
    <xf numFmtId="165" fontId="22" fillId="0" borderId="20" xfId="0" applyNumberFormat="1" applyFont="1" applyFill="1" applyBorder="1"/>
    <xf numFmtId="4" fontId="21" fillId="3" borderId="2" xfId="1" applyNumberFormat="1" applyFont="1" applyFill="1" applyBorder="1"/>
    <xf numFmtId="165" fontId="22" fillId="0" borderId="7" xfId="0" applyNumberFormat="1" applyFont="1" applyFill="1" applyBorder="1"/>
    <xf numFmtId="165" fontId="21" fillId="0" borderId="0" xfId="1" applyNumberFormat="1" applyFont="1" applyFill="1" applyBorder="1"/>
    <xf numFmtId="167" fontId="21" fillId="0" borderId="1" xfId="4" applyNumberFormat="1" applyFont="1" applyBorder="1"/>
    <xf numFmtId="167" fontId="21" fillId="0" borderId="3" xfId="4" applyNumberFormat="1" applyFont="1" applyBorder="1"/>
    <xf numFmtId="167" fontId="21" fillId="0" borderId="6" xfId="4" applyNumberFormat="1" applyFont="1" applyBorder="1"/>
    <xf numFmtId="0" fontId="23" fillId="5" borderId="27" xfId="0" applyFont="1" applyFill="1" applyBorder="1" applyAlignment="1">
      <alignment horizontal="center"/>
    </xf>
    <xf numFmtId="0" fontId="21" fillId="4" borderId="5" xfId="0" applyFont="1" applyFill="1" applyBorder="1" applyAlignment="1">
      <alignment horizontal="right"/>
    </xf>
    <xf numFmtId="164" fontId="21" fillId="0" borderId="5" xfId="1" applyFont="1" applyFill="1" applyBorder="1"/>
    <xf numFmtId="167" fontId="21" fillId="3" borderId="5" xfId="4" applyNumberFormat="1" applyFont="1" applyFill="1" applyBorder="1"/>
    <xf numFmtId="3" fontId="21" fillId="6" borderId="3" xfId="1" applyNumberFormat="1" applyFont="1" applyFill="1" applyBorder="1"/>
    <xf numFmtId="0" fontId="22" fillId="0" borderId="1" xfId="0" applyFont="1" applyBorder="1"/>
    <xf numFmtId="167" fontId="18" fillId="3" borderId="3" xfId="4" applyNumberFormat="1" applyFont="1" applyFill="1" applyBorder="1"/>
    <xf numFmtId="167" fontId="4" fillId="3" borderId="5" xfId="4" applyNumberFormat="1" applyFont="1" applyFill="1" applyBorder="1"/>
    <xf numFmtId="0" fontId="24" fillId="5" borderId="26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right"/>
    </xf>
    <xf numFmtId="0" fontId="4" fillId="4" borderId="15" xfId="0" applyFont="1" applyFill="1" applyBorder="1" applyAlignment="1">
      <alignment horizontal="right"/>
    </xf>
    <xf numFmtId="167" fontId="18" fillId="3" borderId="5" xfId="4" applyNumberFormat="1" applyFont="1" applyFill="1" applyBorder="1"/>
    <xf numFmtId="164" fontId="5" fillId="7" borderId="37" xfId="1" applyFont="1" applyFill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38" xfId="0" applyFont="1" applyFill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21" fillId="0" borderId="3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164" fontId="5" fillId="7" borderId="19" xfId="1" applyFont="1" applyFill="1" applyBorder="1" applyAlignment="1">
      <alignment horizontal="left"/>
    </xf>
    <xf numFmtId="0" fontId="25" fillId="4" borderId="26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right"/>
    </xf>
    <xf numFmtId="4" fontId="25" fillId="3" borderId="1" xfId="1" applyNumberFormat="1" applyFont="1" applyFill="1" applyBorder="1"/>
    <xf numFmtId="168" fontId="25" fillId="3" borderId="1" xfId="1" applyNumberFormat="1" applyFont="1" applyFill="1" applyBorder="1"/>
    <xf numFmtId="3" fontId="25" fillId="3" borderId="3" xfId="1" applyNumberFormat="1" applyFont="1" applyFill="1" applyBorder="1"/>
    <xf numFmtId="4" fontId="25" fillId="3" borderId="23" xfId="1" applyNumberFormat="1" applyFont="1" applyFill="1" applyBorder="1"/>
    <xf numFmtId="164" fontId="25" fillId="3" borderId="3" xfId="1" applyFont="1" applyFill="1" applyBorder="1"/>
    <xf numFmtId="164" fontId="25" fillId="3" borderId="5" xfId="1" applyFont="1" applyFill="1" applyBorder="1"/>
    <xf numFmtId="164" fontId="25" fillId="3" borderId="23" xfId="1" applyFont="1" applyFill="1" applyBorder="1"/>
    <xf numFmtId="164" fontId="26" fillId="0" borderId="3" xfId="1" applyFont="1" applyFill="1" applyBorder="1"/>
    <xf numFmtId="167" fontId="25" fillId="3" borderId="3" xfId="4" applyNumberFormat="1" applyFont="1" applyFill="1" applyBorder="1"/>
    <xf numFmtId="167" fontId="25" fillId="3" borderId="5" xfId="4" applyNumberFormat="1" applyFont="1" applyFill="1" applyBorder="1"/>
    <xf numFmtId="167" fontId="25" fillId="0" borderId="3" xfId="4" applyNumberFormat="1" applyFont="1" applyFill="1" applyBorder="1"/>
    <xf numFmtId="3" fontId="25" fillId="0" borderId="3" xfId="1" applyNumberFormat="1" applyFont="1" applyFill="1" applyBorder="1"/>
    <xf numFmtId="3" fontId="25" fillId="0" borderId="2" xfId="2" applyNumberFormat="1" applyFont="1" applyFill="1" applyBorder="1"/>
    <xf numFmtId="3" fontId="25" fillId="3" borderId="5" xfId="1" applyNumberFormat="1" applyFont="1" applyFill="1" applyBorder="1"/>
    <xf numFmtId="165" fontId="25" fillId="0" borderId="3" xfId="2" applyNumberFormat="1" applyFont="1" applyFill="1" applyBorder="1"/>
    <xf numFmtId="2" fontId="25" fillId="0" borderId="3" xfId="2" applyNumberFormat="1" applyFont="1" applyFill="1" applyBorder="1"/>
    <xf numFmtId="165" fontId="25" fillId="6" borderId="3" xfId="1" applyNumberFormat="1" applyFont="1" applyFill="1" applyBorder="1"/>
    <xf numFmtId="165" fontId="25" fillId="0" borderId="6" xfId="2" applyNumberFormat="1" applyFont="1" applyFill="1" applyBorder="1"/>
    <xf numFmtId="168" fontId="25" fillId="3" borderId="23" xfId="1" applyNumberFormat="1" applyFont="1" applyFill="1" applyBorder="1"/>
    <xf numFmtId="165" fontId="26" fillId="0" borderId="20" xfId="0" applyNumberFormat="1" applyFont="1" applyFill="1" applyBorder="1"/>
    <xf numFmtId="4" fontId="25" fillId="3" borderId="2" xfId="1" applyNumberFormat="1" applyFont="1" applyFill="1" applyBorder="1"/>
    <xf numFmtId="165" fontId="26" fillId="0" borderId="7" xfId="0" applyNumberFormat="1" applyFont="1" applyFill="1" applyBorder="1"/>
    <xf numFmtId="165" fontId="25" fillId="0" borderId="0" xfId="1" applyNumberFormat="1" applyFont="1" applyFill="1" applyBorder="1"/>
    <xf numFmtId="0" fontId="26" fillId="0" borderId="2" xfId="0" applyFont="1" applyBorder="1"/>
    <xf numFmtId="167" fontId="25" fillId="0" borderId="1" xfId="4" applyNumberFormat="1" applyFont="1" applyBorder="1"/>
    <xf numFmtId="167" fontId="25" fillId="0" borderId="3" xfId="4" applyNumberFormat="1" applyFont="1" applyBorder="1"/>
    <xf numFmtId="167" fontId="25" fillId="0" borderId="6" xfId="4" applyNumberFormat="1" applyFont="1" applyBorder="1"/>
    <xf numFmtId="0" fontId="27" fillId="0" borderId="0" xfId="0" applyFont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7" fontId="28" fillId="0" borderId="3" xfId="4" applyNumberFormat="1" applyFont="1" applyFill="1" applyBorder="1"/>
    <xf numFmtId="167" fontId="7" fillId="0" borderId="3" xfId="4" applyNumberFormat="1" applyFont="1" applyFill="1" applyBorder="1"/>
    <xf numFmtId="0" fontId="1" fillId="4" borderId="40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9" fontId="0" fillId="0" borderId="0" xfId="0" applyNumberFormat="1"/>
  </cellXfs>
  <cellStyles count="6">
    <cellStyle name="Comma 3" xfId="5"/>
    <cellStyle name="Komma" xfId="4" builtinId="3"/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61">
          <cell r="B61" t="str">
            <v>Kraftpris</v>
          </cell>
          <cell r="D61">
            <v>23</v>
          </cell>
        </row>
        <row r="62">
          <cell r="B62" t="str">
            <v>Nettleie husholdninger</v>
          </cell>
          <cell r="D62">
            <v>27.3</v>
          </cell>
        </row>
        <row r="63">
          <cell r="B63" t="str">
            <v>Nettleie, anlegg over 150 kW</v>
          </cell>
          <cell r="D63">
            <v>21.8</v>
          </cell>
        </row>
      </sheetData>
      <sheetData sheetId="1">
        <row r="8">
          <cell r="L8">
            <v>16.32</v>
          </cell>
        </row>
        <row r="9">
          <cell r="M9">
            <v>0.48</v>
          </cell>
        </row>
      </sheetData>
      <sheetData sheetId="2"/>
      <sheetData sheetId="3">
        <row r="1">
          <cell r="C1">
            <v>1.07973174366617</v>
          </cell>
        </row>
        <row r="18">
          <cell r="C18">
            <v>0.5</v>
          </cell>
        </row>
        <row r="43">
          <cell r="D43">
            <v>0.06</v>
          </cell>
        </row>
        <row r="44">
          <cell r="D44">
            <v>0.06</v>
          </cell>
          <cell r="E44">
            <v>1E-3</v>
          </cell>
        </row>
        <row r="45">
          <cell r="C45">
            <v>20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31"/>
  <sheetViews>
    <sheetView tabSelected="1" topLeftCell="A86" zoomScaleNormal="100" workbookViewId="0">
      <selection activeCell="E86" sqref="E86"/>
    </sheetView>
  </sheetViews>
  <sheetFormatPr baseColWidth="10" defaultRowHeight="15" x14ac:dyDescent="0.25"/>
  <cols>
    <col min="1" max="1" width="24.85546875" customWidth="1"/>
    <col min="2" max="2" width="10.140625" bestFit="1" customWidth="1"/>
    <col min="3" max="3" width="5.85546875" bestFit="1" customWidth="1"/>
    <col min="4" max="4" width="4.28515625" customWidth="1"/>
    <col min="5" max="5" width="30.7109375" customWidth="1"/>
    <col min="7" max="7" width="12.5703125" bestFit="1" customWidth="1"/>
    <col min="8" max="8" width="12.5703125" customWidth="1"/>
    <col min="10" max="10" width="11.7109375" bestFit="1" customWidth="1"/>
    <col min="11" max="11" width="14.28515625" customWidth="1"/>
    <col min="13" max="13" width="15.85546875" customWidth="1"/>
    <col min="14" max="14" width="13.28515625" customWidth="1"/>
    <col min="15" max="15" width="13.42578125" customWidth="1"/>
    <col min="16" max="16" width="68.5703125" customWidth="1"/>
    <col min="17" max="17" width="7" customWidth="1"/>
    <col min="18" max="18" width="7" style="99" customWidth="1"/>
    <col min="19" max="19" width="22" style="99" customWidth="1"/>
    <col min="20" max="20" width="9.42578125" style="99" customWidth="1"/>
    <col min="21" max="24" width="11.28515625" style="99" customWidth="1"/>
    <col min="25" max="25" width="18" style="99" customWidth="1"/>
  </cols>
  <sheetData>
    <row r="1" spans="1:25" x14ac:dyDescent="0.25">
      <c r="E1" t="s">
        <v>57</v>
      </c>
      <c r="G1" s="95"/>
      <c r="H1" s="95"/>
    </row>
    <row r="2" spans="1:25" x14ac:dyDescent="0.25">
      <c r="E2" s="252"/>
    </row>
    <row r="3" spans="1:25" ht="15.75" thickBot="1" x14ac:dyDescent="0.3">
      <c r="M3">
        <v>1</v>
      </c>
      <c r="N3">
        <v>5</v>
      </c>
      <c r="O3">
        <v>10</v>
      </c>
    </row>
    <row r="4" spans="1:25" ht="15.75" thickBot="1" x14ac:dyDescent="0.3">
      <c r="A4" s="10"/>
      <c r="B4" s="10" t="s">
        <v>21</v>
      </c>
      <c r="C4" s="11"/>
      <c r="E4" s="258" t="s">
        <v>94</v>
      </c>
      <c r="F4" s="259"/>
      <c r="G4" s="259"/>
      <c r="H4" s="259"/>
      <c r="I4" s="259"/>
      <c r="J4" s="259"/>
      <c r="K4" s="259"/>
      <c r="L4" s="259"/>
      <c r="M4" s="259"/>
      <c r="N4" s="259"/>
      <c r="O4" s="260"/>
      <c r="P4" s="17" t="s">
        <v>13</v>
      </c>
      <c r="Q4" s="17" t="s">
        <v>12</v>
      </c>
      <c r="S4" s="101" t="s">
        <v>24</v>
      </c>
      <c r="T4" s="102"/>
      <c r="U4" s="102"/>
      <c r="V4" s="102"/>
      <c r="W4" s="102"/>
      <c r="X4" s="103"/>
    </row>
    <row r="5" spans="1:25" ht="15.75" thickBot="1" x14ac:dyDescent="0.3">
      <c r="A5" s="10" t="s">
        <v>17</v>
      </c>
      <c r="B5" s="20" t="s">
        <v>16</v>
      </c>
      <c r="C5" s="20">
        <f>'[1]byggetid levetid rente'!$C$18</f>
        <v>0.5</v>
      </c>
      <c r="D5" s="13"/>
      <c r="E5" s="83"/>
      <c r="F5" s="84" t="s">
        <v>3</v>
      </c>
      <c r="G5" s="85"/>
      <c r="H5" s="85" t="s">
        <v>113</v>
      </c>
      <c r="I5" s="86"/>
      <c r="J5" s="87"/>
      <c r="K5" s="87"/>
      <c r="L5" s="86"/>
      <c r="M5" s="85"/>
      <c r="N5" s="85"/>
      <c r="O5" s="88"/>
      <c r="P5" s="14"/>
      <c r="Q5" s="14"/>
      <c r="S5" s="216" t="s">
        <v>63</v>
      </c>
      <c r="T5" s="104"/>
      <c r="U5" s="128">
        <v>0.15</v>
      </c>
      <c r="V5" s="104">
        <v>1</v>
      </c>
      <c r="W5" s="104">
        <v>5</v>
      </c>
      <c r="X5" s="105">
        <v>10</v>
      </c>
    </row>
    <row r="6" spans="1:25" ht="15.75" thickBot="1" x14ac:dyDescent="0.3">
      <c r="A6" s="10" t="s">
        <v>46</v>
      </c>
      <c r="B6" s="20" t="s">
        <v>16</v>
      </c>
      <c r="C6" s="20">
        <v>1</v>
      </c>
      <c r="D6" s="13"/>
      <c r="E6" s="23" t="s">
        <v>82</v>
      </c>
      <c r="F6" s="24" t="s">
        <v>23</v>
      </c>
      <c r="G6" s="150">
        <v>0.01</v>
      </c>
      <c r="H6" s="150">
        <v>0.01</v>
      </c>
      <c r="I6" s="150">
        <v>3.5000000000000003E-2</v>
      </c>
      <c r="J6" s="151">
        <v>7.4999999999999997E-2</v>
      </c>
      <c r="K6" s="151">
        <v>0.15</v>
      </c>
      <c r="L6" s="150">
        <v>0.5</v>
      </c>
      <c r="M6" s="150">
        <v>1</v>
      </c>
      <c r="N6" s="150">
        <v>5</v>
      </c>
      <c r="O6" s="152">
        <v>10</v>
      </c>
      <c r="R6" s="100"/>
      <c r="S6" s="217" t="s">
        <v>64</v>
      </c>
      <c r="T6" s="135" t="s">
        <v>74</v>
      </c>
      <c r="U6" s="129">
        <v>2807.8817733990145</v>
      </c>
      <c r="V6" s="106">
        <v>19354.83870967742</v>
      </c>
      <c r="W6" s="106">
        <v>102040.81632653061</v>
      </c>
      <c r="X6" s="107">
        <v>204081.63265306121</v>
      </c>
      <c r="Y6" s="100"/>
    </row>
    <row r="7" spans="1:25" x14ac:dyDescent="0.25">
      <c r="A7" s="10" t="s">
        <v>18</v>
      </c>
      <c r="B7" s="20" t="s">
        <v>16</v>
      </c>
      <c r="C7" s="180">
        <f>'[1]byggetid levetid rente'!$C$45</f>
        <v>20</v>
      </c>
      <c r="D7" s="13"/>
      <c r="E7" s="169" t="s">
        <v>76</v>
      </c>
      <c r="F7" s="170"/>
      <c r="G7" s="140">
        <f t="shared" ref="G7:J7" si="0">G6*2</f>
        <v>0.02</v>
      </c>
      <c r="H7" s="140">
        <f t="shared" ref="H7" si="1">H6*2</f>
        <v>0.02</v>
      </c>
      <c r="I7" s="140">
        <f t="shared" si="0"/>
        <v>7.0000000000000007E-2</v>
      </c>
      <c r="J7" s="140">
        <f t="shared" si="0"/>
        <v>0.15</v>
      </c>
      <c r="K7" s="140">
        <f>K6*2</f>
        <v>0.3</v>
      </c>
      <c r="L7" s="140">
        <f t="shared" ref="L7:O7" si="2">L6*2</f>
        <v>1</v>
      </c>
      <c r="M7" s="140">
        <f t="shared" si="2"/>
        <v>2</v>
      </c>
      <c r="N7" s="140">
        <f t="shared" si="2"/>
        <v>10</v>
      </c>
      <c r="O7" s="140">
        <f t="shared" si="2"/>
        <v>20</v>
      </c>
      <c r="P7" s="100"/>
      <c r="Q7" s="100"/>
      <c r="R7" s="100"/>
      <c r="S7" s="218" t="s">
        <v>65</v>
      </c>
      <c r="T7" s="136" t="s">
        <v>75</v>
      </c>
      <c r="U7" s="130">
        <v>425</v>
      </c>
      <c r="V7" s="109">
        <v>400</v>
      </c>
      <c r="W7" s="109">
        <v>375</v>
      </c>
      <c r="X7" s="110">
        <v>360</v>
      </c>
      <c r="Y7" s="100"/>
    </row>
    <row r="8" spans="1:25" x14ac:dyDescent="0.25">
      <c r="A8" s="10" t="s">
        <v>50</v>
      </c>
      <c r="B8" s="20" t="s">
        <v>20</v>
      </c>
      <c r="C8" s="16">
        <f>'[1]byggetid levetid rente'!$D$43</f>
        <v>0.06</v>
      </c>
      <c r="D8" s="13"/>
      <c r="E8" s="41" t="s">
        <v>58</v>
      </c>
      <c r="F8" s="161"/>
      <c r="G8" s="140">
        <f t="shared" ref="G8:O8" si="3">G51+0.2</f>
        <v>3.2</v>
      </c>
      <c r="H8" s="140">
        <f t="shared" ref="H8" si="4">H51+0.2</f>
        <v>3.2</v>
      </c>
      <c r="I8" s="140">
        <f t="shared" si="3"/>
        <v>3.2</v>
      </c>
      <c r="J8" s="140">
        <f t="shared" si="3"/>
        <v>3.2</v>
      </c>
      <c r="K8" s="140">
        <f t="shared" si="3"/>
        <v>3.2</v>
      </c>
      <c r="L8" s="140">
        <f t="shared" si="3"/>
        <v>3.4000000000000004</v>
      </c>
      <c r="M8" s="140">
        <f t="shared" si="3"/>
        <v>3.6</v>
      </c>
      <c r="N8" s="140">
        <f t="shared" si="3"/>
        <v>3.6</v>
      </c>
      <c r="O8" s="141">
        <f t="shared" si="3"/>
        <v>3.6</v>
      </c>
      <c r="P8" t="s">
        <v>99</v>
      </c>
      <c r="S8" s="219" t="s">
        <v>66</v>
      </c>
      <c r="T8" s="137" t="s">
        <v>53</v>
      </c>
      <c r="U8" s="131">
        <f>U6*U7</f>
        <v>1193349.7536945811</v>
      </c>
      <c r="V8" s="112">
        <f>V6*V7</f>
        <v>7741935.4838709682</v>
      </c>
      <c r="W8" s="112">
        <f>W6*W7</f>
        <v>38265306.122448981</v>
      </c>
      <c r="X8" s="113">
        <f>X6*X7</f>
        <v>73469387.755102038</v>
      </c>
    </row>
    <row r="9" spans="1:25" x14ac:dyDescent="0.25">
      <c r="A9" s="10" t="s">
        <v>51</v>
      </c>
      <c r="B9" s="20" t="s">
        <v>20</v>
      </c>
      <c r="C9" s="16">
        <f>'[1]byggetid levetid rente'!$D$44</f>
        <v>0.06</v>
      </c>
      <c r="D9" s="13"/>
      <c r="E9" s="29" t="s">
        <v>77</v>
      </c>
      <c r="F9" s="162"/>
      <c r="G9" s="62">
        <v>10</v>
      </c>
      <c r="H9" s="62">
        <v>10</v>
      </c>
      <c r="I9" s="62">
        <v>10</v>
      </c>
      <c r="J9" s="62">
        <v>10</v>
      </c>
      <c r="K9" s="62">
        <v>10</v>
      </c>
      <c r="L9" s="62">
        <v>10</v>
      </c>
      <c r="M9" s="33">
        <v>10</v>
      </c>
      <c r="N9" s="33">
        <v>10</v>
      </c>
      <c r="O9" s="34">
        <v>10</v>
      </c>
      <c r="P9" t="s">
        <v>100</v>
      </c>
      <c r="S9" s="218" t="s">
        <v>67</v>
      </c>
      <c r="T9" s="138" t="s">
        <v>29</v>
      </c>
      <c r="U9" s="132">
        <f>U8/U5/1000</f>
        <v>7955.6650246305408</v>
      </c>
      <c r="V9" s="114">
        <f>V8/V5/1000</f>
        <v>7741.9354838709678</v>
      </c>
      <c r="W9" s="114">
        <f>W8/W5/1000</f>
        <v>7653.0612244897957</v>
      </c>
      <c r="X9" s="115">
        <f>X8/X5/1000</f>
        <v>7346.9387755102043</v>
      </c>
    </row>
    <row r="10" spans="1:25" x14ac:dyDescent="0.25">
      <c r="A10" s="10" t="s">
        <v>19</v>
      </c>
      <c r="B10" s="6" t="s">
        <v>22</v>
      </c>
      <c r="C10" s="16">
        <f>'[1]byggetid levetid rente'!$E$44</f>
        <v>1E-3</v>
      </c>
      <c r="D10" s="13"/>
      <c r="E10" s="165" t="s">
        <v>78</v>
      </c>
      <c r="F10" s="163"/>
      <c r="G10" s="149">
        <v>0.98</v>
      </c>
      <c r="H10" s="149">
        <v>0.98</v>
      </c>
      <c r="I10" s="149">
        <v>0.98</v>
      </c>
      <c r="J10" s="149">
        <v>0.98</v>
      </c>
      <c r="K10" s="149">
        <v>0.98</v>
      </c>
      <c r="L10" s="149">
        <v>0.98</v>
      </c>
      <c r="M10" s="149">
        <v>0.98</v>
      </c>
      <c r="N10" s="149">
        <v>0.98</v>
      </c>
      <c r="O10" s="149">
        <v>0.98</v>
      </c>
      <c r="P10" t="s">
        <v>73</v>
      </c>
      <c r="S10" s="220" t="s">
        <v>68</v>
      </c>
      <c r="T10" s="138" t="s">
        <v>29</v>
      </c>
      <c r="U10" s="133">
        <v>2200</v>
      </c>
      <c r="V10" s="124">
        <v>1800</v>
      </c>
      <c r="W10" s="124">
        <v>1750</v>
      </c>
      <c r="X10" s="125">
        <v>1700</v>
      </c>
    </row>
    <row r="11" spans="1:25" x14ac:dyDescent="0.25">
      <c r="A11" s="10" t="str">
        <f>'[1]Brennverdier og priser'!$B$61</f>
        <v>Kraftpris</v>
      </c>
      <c r="B11" s="6" t="s">
        <v>1</v>
      </c>
      <c r="C11" s="15">
        <f>'[1]Brennverdier og priser'!$D$61</f>
        <v>23</v>
      </c>
      <c r="D11" s="13"/>
      <c r="E11" s="29" t="s">
        <v>79</v>
      </c>
      <c r="F11" s="75" t="s">
        <v>4</v>
      </c>
      <c r="G11" s="143">
        <v>3200</v>
      </c>
      <c r="H11" s="143">
        <v>3200</v>
      </c>
      <c r="I11" s="143">
        <v>3200</v>
      </c>
      <c r="J11" s="144">
        <v>3200</v>
      </c>
      <c r="K11" s="144">
        <v>3200</v>
      </c>
      <c r="L11" s="142">
        <v>4000</v>
      </c>
      <c r="M11" s="142">
        <v>4000</v>
      </c>
      <c r="N11" s="142">
        <v>4000</v>
      </c>
      <c r="O11" s="145">
        <v>4000</v>
      </c>
      <c r="P11" t="s">
        <v>73</v>
      </c>
      <c r="S11" s="219" t="s">
        <v>69</v>
      </c>
      <c r="T11" s="138" t="s">
        <v>29</v>
      </c>
      <c r="U11" s="130">
        <v>800</v>
      </c>
      <c r="V11" s="109">
        <v>800</v>
      </c>
      <c r="W11" s="109">
        <v>800</v>
      </c>
      <c r="X11" s="110">
        <v>800</v>
      </c>
    </row>
    <row r="12" spans="1:25" x14ac:dyDescent="0.25">
      <c r="A12" s="21" t="str">
        <f>'[1]Brennverdier og priser'!$B$62</f>
        <v>Nettleie husholdninger</v>
      </c>
      <c r="B12" s="6" t="s">
        <v>1</v>
      </c>
      <c r="C12" s="15">
        <f>'[1]Brennverdier og priser'!$D$62</f>
        <v>27.3</v>
      </c>
      <c r="D12" s="13"/>
      <c r="E12" s="29" t="s">
        <v>80</v>
      </c>
      <c r="F12" s="162"/>
      <c r="G12" s="144">
        <v>800</v>
      </c>
      <c r="H12" s="144">
        <v>800</v>
      </c>
      <c r="I12" s="144">
        <v>800</v>
      </c>
      <c r="J12" s="144">
        <v>800</v>
      </c>
      <c r="K12" s="144">
        <v>800</v>
      </c>
      <c r="L12" s="144">
        <v>800</v>
      </c>
      <c r="M12" s="144">
        <v>800</v>
      </c>
      <c r="N12" s="144">
        <v>800</v>
      </c>
      <c r="O12" s="154">
        <v>800</v>
      </c>
      <c r="P12" t="s">
        <v>73</v>
      </c>
      <c r="S12" s="220" t="s">
        <v>70</v>
      </c>
      <c r="T12" s="138" t="s">
        <v>29</v>
      </c>
      <c r="U12" s="134">
        <v>3300</v>
      </c>
      <c r="V12" s="126">
        <v>2160</v>
      </c>
      <c r="W12" s="126">
        <v>2012.4999999999998</v>
      </c>
      <c r="X12" s="127">
        <v>1870.0000000000002</v>
      </c>
    </row>
    <row r="13" spans="1:25" x14ac:dyDescent="0.25">
      <c r="A13" s="21" t="str">
        <f>'[1]Brennverdier og priser'!$B$63</f>
        <v>Nettleie, anlegg over 150 kW</v>
      </c>
      <c r="B13" s="6" t="s">
        <v>1</v>
      </c>
      <c r="C13" s="15">
        <f>'[1]Brennverdier og priser'!$D$63</f>
        <v>21.8</v>
      </c>
      <c r="D13" s="6"/>
      <c r="E13" s="165" t="s">
        <v>81</v>
      </c>
      <c r="F13" s="163"/>
      <c r="G13" s="146">
        <v>200</v>
      </c>
      <c r="H13" s="146">
        <v>200</v>
      </c>
      <c r="I13" s="146">
        <v>200</v>
      </c>
      <c r="J13" s="146">
        <v>200</v>
      </c>
      <c r="K13" s="146">
        <v>200</v>
      </c>
      <c r="L13" s="146">
        <v>200</v>
      </c>
      <c r="M13" s="146">
        <v>200</v>
      </c>
      <c r="N13" s="146">
        <v>200</v>
      </c>
      <c r="O13" s="167">
        <v>200</v>
      </c>
      <c r="P13" t="s">
        <v>101</v>
      </c>
      <c r="S13" s="219" t="s">
        <v>62</v>
      </c>
      <c r="T13" s="138" t="s">
        <v>29</v>
      </c>
      <c r="U13" s="131">
        <v>1351.1326530612246</v>
      </c>
      <c r="V13" s="112">
        <v>1241.9413265306123</v>
      </c>
      <c r="W13" s="112">
        <v>911.375</v>
      </c>
      <c r="X13" s="113">
        <v>690</v>
      </c>
    </row>
    <row r="14" spans="1:25" ht="15.75" thickBot="1" x14ac:dyDescent="0.3">
      <c r="A14" s="21" t="s">
        <v>37</v>
      </c>
      <c r="B14" s="6" t="s">
        <v>1</v>
      </c>
      <c r="C14" s="15">
        <f>'[1]CO2-avgift, grunnavgift'!$L$8</f>
        <v>16.32</v>
      </c>
      <c r="D14" s="6"/>
      <c r="E14" s="29" t="s">
        <v>5</v>
      </c>
      <c r="F14" s="91"/>
      <c r="G14" s="75"/>
      <c r="H14" s="75"/>
      <c r="I14" s="76"/>
      <c r="J14" s="77"/>
      <c r="K14" s="77"/>
      <c r="L14" s="76"/>
      <c r="M14" s="75"/>
      <c r="N14" s="75"/>
      <c r="O14" s="78"/>
      <c r="S14" s="221" t="s">
        <v>71</v>
      </c>
      <c r="T14" s="139" t="s">
        <v>29</v>
      </c>
      <c r="U14" s="117">
        <f>SUM(U9:U13)</f>
        <v>15606.797677691764</v>
      </c>
      <c r="V14" s="117">
        <f t="shared" ref="V14:X14" si="5">SUM(V9:V13)</f>
        <v>13743.87681040158</v>
      </c>
      <c r="W14" s="117">
        <f t="shared" si="5"/>
        <v>13126.936224489797</v>
      </c>
      <c r="X14" s="118">
        <f t="shared" si="5"/>
        <v>12406.938775510203</v>
      </c>
    </row>
    <row r="15" spans="1:25" ht="15.75" thickBot="1" x14ac:dyDescent="0.3">
      <c r="A15" s="21" t="s">
        <v>38</v>
      </c>
      <c r="B15" s="6" t="s">
        <v>1</v>
      </c>
      <c r="C15" s="12">
        <f>'[1]CO2-avgift, grunnavgift'!$M$9</f>
        <v>0.48</v>
      </c>
      <c r="D15" s="6"/>
      <c r="E15" s="30" t="s">
        <v>40</v>
      </c>
      <c r="F15" s="164" t="s">
        <v>41</v>
      </c>
      <c r="G15" s="31">
        <v>50000</v>
      </c>
      <c r="H15" s="31">
        <f>50000*(1+C17)</f>
        <v>62500</v>
      </c>
      <c r="I15" s="31">
        <v>100000</v>
      </c>
      <c r="J15" s="61">
        <v>170000</v>
      </c>
      <c r="K15" s="61">
        <v>300000</v>
      </c>
      <c r="L15" s="71">
        <v>850000</v>
      </c>
      <c r="M15" s="31">
        <v>1500000</v>
      </c>
      <c r="N15" s="31">
        <v>7000000</v>
      </c>
      <c r="O15" s="31">
        <v>14000000</v>
      </c>
      <c r="P15" t="s">
        <v>52</v>
      </c>
      <c r="S15" s="222" t="s">
        <v>72</v>
      </c>
      <c r="T15" s="104"/>
      <c r="U15" s="119">
        <v>0.15</v>
      </c>
      <c r="V15" s="119">
        <v>1</v>
      </c>
      <c r="W15" s="119">
        <v>5</v>
      </c>
      <c r="X15" s="120">
        <v>10</v>
      </c>
    </row>
    <row r="16" spans="1:25" x14ac:dyDescent="0.25">
      <c r="A16" s="10" t="s">
        <v>36</v>
      </c>
      <c r="B16" s="6" t="s">
        <v>35</v>
      </c>
      <c r="C16" s="22">
        <f>'[1]byggetid levetid rente'!$C$1</f>
        <v>1.07973174366617</v>
      </c>
      <c r="D16" s="6"/>
      <c r="E16" s="30" t="s">
        <v>42</v>
      </c>
      <c r="F16" s="164" t="s">
        <v>43</v>
      </c>
      <c r="G16" s="61">
        <f>(3300*G6*1000)</f>
        <v>33000</v>
      </c>
      <c r="H16" s="61">
        <f>(3300*H6*1000)*(1+C17)</f>
        <v>41250</v>
      </c>
      <c r="I16" s="61">
        <f>(3300*I6*1000)</f>
        <v>115500.00000000001</v>
      </c>
      <c r="J16" s="61">
        <f>(3300*J6*1000)</f>
        <v>247500</v>
      </c>
      <c r="K16" s="61">
        <f>(3300*K6*1000)</f>
        <v>495000</v>
      </c>
      <c r="L16" s="61">
        <f>(3300*L6*1000)</f>
        <v>1650000</v>
      </c>
      <c r="M16" s="31">
        <f>(2160*M6*1000)</f>
        <v>2160000</v>
      </c>
      <c r="N16" s="31">
        <f>(2013*N6*1000)</f>
        <v>10065000</v>
      </c>
      <c r="O16" s="32">
        <f>(1870*O6*1000)</f>
        <v>18700000</v>
      </c>
      <c r="P16" t="s">
        <v>102</v>
      </c>
      <c r="S16" s="111" t="s">
        <v>64</v>
      </c>
      <c r="T16" s="135" t="s">
        <v>74</v>
      </c>
      <c r="U16" s="109">
        <v>2698.4126984126983</v>
      </c>
      <c r="V16" s="109">
        <v>18719.211822660098</v>
      </c>
      <c r="W16" s="109">
        <v>103174.60317460317</v>
      </c>
      <c r="X16" s="110">
        <v>206349.20634920633</v>
      </c>
    </row>
    <row r="17" spans="1:24" x14ac:dyDescent="0.25">
      <c r="A17" s="10" t="s">
        <v>115</v>
      </c>
      <c r="B17" s="6" t="s">
        <v>22</v>
      </c>
      <c r="C17" s="264">
        <v>0.25</v>
      </c>
      <c r="D17" s="6"/>
      <c r="E17" s="30" t="s">
        <v>91</v>
      </c>
      <c r="F17" s="1" t="s">
        <v>29</v>
      </c>
      <c r="G17" s="74">
        <f t="shared" ref="G17:O18" si="6">G15/(G$6*1000)</f>
        <v>5000</v>
      </c>
      <c r="H17" s="74">
        <f>H15/(H$6*1000)*(1+C17)</f>
        <v>7812.5</v>
      </c>
      <c r="I17" s="74">
        <f t="shared" si="6"/>
        <v>2857.1428571428573</v>
      </c>
      <c r="J17" s="74">
        <f t="shared" si="6"/>
        <v>2266.6666666666665</v>
      </c>
      <c r="K17" s="74">
        <f t="shared" si="6"/>
        <v>2000</v>
      </c>
      <c r="L17" s="74">
        <f t="shared" si="6"/>
        <v>1700</v>
      </c>
      <c r="M17" s="74">
        <f t="shared" si="6"/>
        <v>1500</v>
      </c>
      <c r="N17" s="74">
        <f t="shared" si="6"/>
        <v>1400</v>
      </c>
      <c r="O17" s="89">
        <f t="shared" si="6"/>
        <v>1400</v>
      </c>
      <c r="S17" s="108" t="s">
        <v>65</v>
      </c>
      <c r="T17" s="136" t="s">
        <v>75</v>
      </c>
      <c r="U17" s="109">
        <v>425</v>
      </c>
      <c r="V17" s="109">
        <v>400</v>
      </c>
      <c r="W17" s="109">
        <v>375</v>
      </c>
      <c r="X17" s="110">
        <v>360</v>
      </c>
    </row>
    <row r="18" spans="1:24" x14ac:dyDescent="0.25">
      <c r="D18" s="12"/>
      <c r="E18" s="30" t="s">
        <v>25</v>
      </c>
      <c r="F18" s="1" t="s">
        <v>29</v>
      </c>
      <c r="G18" s="74">
        <f t="shared" si="6"/>
        <v>3300</v>
      </c>
      <c r="H18" s="74">
        <f>H16/(H$6*1000)*(1+C17)</f>
        <v>5156.25</v>
      </c>
      <c r="I18" s="74">
        <f t="shared" si="6"/>
        <v>3300.0000000000005</v>
      </c>
      <c r="J18" s="74">
        <f t="shared" si="6"/>
        <v>3300</v>
      </c>
      <c r="K18" s="74">
        <f t="shared" si="6"/>
        <v>3300</v>
      </c>
      <c r="L18" s="74">
        <f t="shared" si="6"/>
        <v>3300</v>
      </c>
      <c r="M18" s="74">
        <f t="shared" si="6"/>
        <v>2160</v>
      </c>
      <c r="N18" s="74">
        <f t="shared" si="6"/>
        <v>2013</v>
      </c>
      <c r="O18" s="89">
        <f t="shared" si="6"/>
        <v>1870</v>
      </c>
      <c r="S18" s="111" t="s">
        <v>66</v>
      </c>
      <c r="T18" s="137" t="s">
        <v>53</v>
      </c>
      <c r="U18" s="109">
        <f>U16*U17</f>
        <v>1146825.3968253967</v>
      </c>
      <c r="V18" s="109">
        <f>V16*V17</f>
        <v>7487684.729064039</v>
      </c>
      <c r="W18" s="109">
        <f t="shared" ref="W18:X18" si="7">W16*W17</f>
        <v>38690476.190476187</v>
      </c>
      <c r="X18" s="110">
        <f t="shared" si="7"/>
        <v>74285714.285714284</v>
      </c>
    </row>
    <row r="19" spans="1:24" x14ac:dyDescent="0.25">
      <c r="A19" s="68" t="s">
        <v>47</v>
      </c>
      <c r="D19" s="12"/>
      <c r="E19" s="30" t="s">
        <v>92</v>
      </c>
      <c r="F19" s="1"/>
      <c r="G19" s="74">
        <v>5600</v>
      </c>
      <c r="H19" s="74">
        <f>5600*(1+C17)</f>
        <v>7000</v>
      </c>
      <c r="I19" s="74">
        <v>8000</v>
      </c>
      <c r="J19" s="74">
        <v>8000</v>
      </c>
      <c r="K19" s="74">
        <f>U9</f>
        <v>7955.6650246305408</v>
      </c>
      <c r="L19" s="74">
        <f>$U$19</f>
        <v>7645.5026455026446</v>
      </c>
      <c r="M19" s="74">
        <f>V9</f>
        <v>7741.9354838709678</v>
      </c>
      <c r="N19" s="74">
        <f>W9</f>
        <v>7653.0612244897957</v>
      </c>
      <c r="O19" s="89">
        <f>X9</f>
        <v>7346.9387755102043</v>
      </c>
      <c r="P19" t="s">
        <v>103</v>
      </c>
      <c r="S19" s="108" t="s">
        <v>67</v>
      </c>
      <c r="T19" s="138" t="s">
        <v>29</v>
      </c>
      <c r="U19" s="109">
        <f>U18/U15/1000</f>
        <v>7645.5026455026446</v>
      </c>
      <c r="V19" s="109">
        <f>V18/V15/1000</f>
        <v>7487.6847290640389</v>
      </c>
      <c r="W19" s="109">
        <f>W18/W15/1000</f>
        <v>7738.0952380952367</v>
      </c>
      <c r="X19" s="110">
        <f>X18/X15/1000</f>
        <v>7428.5714285714284</v>
      </c>
    </row>
    <row r="20" spans="1:24" x14ac:dyDescent="0.25">
      <c r="A20" s="69" t="s">
        <v>56</v>
      </c>
      <c r="D20" s="12"/>
      <c r="E20" s="30" t="s">
        <v>61</v>
      </c>
      <c r="F20" s="1"/>
      <c r="G20" s="74">
        <f>$U$11</f>
        <v>800</v>
      </c>
      <c r="H20" s="74">
        <f>$U$11*(1+C17)</f>
        <v>1000</v>
      </c>
      <c r="I20" s="74">
        <f t="shared" ref="I20:J20" si="8">$U$11</f>
        <v>800</v>
      </c>
      <c r="J20" s="74">
        <f t="shared" si="8"/>
        <v>800</v>
      </c>
      <c r="K20" s="74">
        <f>$U11</f>
        <v>800</v>
      </c>
      <c r="L20" s="74">
        <f>$V$11</f>
        <v>800</v>
      </c>
      <c r="M20" s="74">
        <f>V11</f>
        <v>800</v>
      </c>
      <c r="N20" s="74">
        <f>W11</f>
        <v>800</v>
      </c>
      <c r="O20" s="89">
        <f>X11</f>
        <v>800</v>
      </c>
      <c r="P20" t="s">
        <v>104</v>
      </c>
      <c r="S20" s="123" t="s">
        <v>68</v>
      </c>
      <c r="T20" s="138" t="s">
        <v>29</v>
      </c>
      <c r="U20" s="124">
        <v>2200</v>
      </c>
      <c r="V20" s="124">
        <v>2500</v>
      </c>
      <c r="W20" s="124">
        <v>3500</v>
      </c>
      <c r="X20" s="125">
        <v>3500</v>
      </c>
    </row>
    <row r="21" spans="1:24" x14ac:dyDescent="0.25">
      <c r="A21" s="70" t="s">
        <v>48</v>
      </c>
      <c r="D21" s="12"/>
      <c r="E21" s="30" t="s">
        <v>62</v>
      </c>
      <c r="F21" s="1"/>
      <c r="G21" s="74">
        <f>$U$13</f>
        <v>1351.1326530612246</v>
      </c>
      <c r="H21" s="74">
        <f>$U$13*(1+C17)</f>
        <v>1688.9158163265306</v>
      </c>
      <c r="I21" s="74">
        <f t="shared" ref="I21:J21" si="9">$U$13</f>
        <v>1351.1326530612246</v>
      </c>
      <c r="J21" s="74">
        <f t="shared" si="9"/>
        <v>1351.1326530612246</v>
      </c>
      <c r="K21" s="74">
        <f>$U13</f>
        <v>1351.1326530612246</v>
      </c>
      <c r="L21" s="74">
        <f>(K21+M21)/2</f>
        <v>1296.5369897959185</v>
      </c>
      <c r="M21" s="74">
        <f>V13</f>
        <v>1241.9413265306123</v>
      </c>
      <c r="N21" s="74">
        <f>W13</f>
        <v>911.375</v>
      </c>
      <c r="O21" s="89">
        <f>X13</f>
        <v>690</v>
      </c>
      <c r="P21" t="s">
        <v>103</v>
      </c>
      <c r="S21" s="111" t="s">
        <v>69</v>
      </c>
      <c r="T21" s="138" t="s">
        <v>29</v>
      </c>
      <c r="U21" s="109">
        <v>800</v>
      </c>
      <c r="V21" s="109">
        <v>800</v>
      </c>
      <c r="W21" s="109">
        <v>800</v>
      </c>
      <c r="X21" s="110">
        <v>800</v>
      </c>
    </row>
    <row r="22" spans="1:24" x14ac:dyDescent="0.25">
      <c r="D22" s="12"/>
      <c r="E22" s="3" t="s">
        <v>6</v>
      </c>
      <c r="F22" s="19" t="s">
        <v>29</v>
      </c>
      <c r="G22" s="35">
        <f>SUM(G17:G18)*(((1+($C$8))*((1+$C$8)^($C$5)-1))/($C$8*$C$5))-SUM(G17:G18)</f>
        <v>369.84660134541809</v>
      </c>
      <c r="H22" s="35">
        <f>SUM(H17:H18)*(((1+($C$8))*((1+$C$8)^($C$5)-1))/($C$8*$C$5))-SUM(H17:H18)</f>
        <v>577.88531460221748</v>
      </c>
      <c r="I22" s="35">
        <f>SUM(I17:I18)*(((1+($C$8))*((1+$C$8)^($C$5)-1))/($C$8*$C$5))-SUM(I17:I18)</f>
        <v>274.36124815813309</v>
      </c>
      <c r="J22" s="35">
        <f>SUM(J17:J18)*(((1+($C$8))*((1+$C$8)^($C$5)-1))/($C$8*$C$5))-SUM(J17:J18)</f>
        <v>248.0497286131922</v>
      </c>
      <c r="K22" s="35">
        <f>SUM(K17:K18)*(((1+($C$8))*((1+$C$8)^($C$5)-1))/($C$8*$C$5))-SUM(K17:K18)</f>
        <v>236.16710688321928</v>
      </c>
      <c r="L22" s="35">
        <f>SUM(L17:L18)*(((1+($C$8))*((1+$C$8)^($C$5)-1))/($C$8*$C$5))-SUM(L17:L18)</f>
        <v>222.79915743699894</v>
      </c>
      <c r="M22" s="35">
        <f>SUM(M17:M18)*(((1+($C$9))*((1+$C$9)^($C$6)-1))/($C$9*$C$6))-SUM(M17:M18)</f>
        <v>219.60000000000355</v>
      </c>
      <c r="N22" s="35">
        <f>SUM(N17:N18)*(((1+($C$9))*((1+$C$9)^($C$6)-1))/($C$9*$C$6))-SUM(N17:N18)</f>
        <v>204.78000000000338</v>
      </c>
      <c r="O22" s="36">
        <f>SUM(O17:O18)*(((1+($C$9))*((1+$C$9)^($C$6)-1))/($C$9*$C$6))-SUM(O17:O18)</f>
        <v>196.200000000003</v>
      </c>
      <c r="S22" s="123" t="s">
        <v>70</v>
      </c>
      <c r="T22" s="138" t="s">
        <v>29</v>
      </c>
      <c r="U22" s="126">
        <v>3300</v>
      </c>
      <c r="V22" s="126">
        <v>3000</v>
      </c>
      <c r="W22" s="126">
        <v>4024.9999999999995</v>
      </c>
      <c r="X22" s="127">
        <v>3850.0000000000005</v>
      </c>
    </row>
    <row r="23" spans="1:24" x14ac:dyDescent="0.25">
      <c r="D23" s="12"/>
      <c r="E23" s="28" t="s">
        <v>7</v>
      </c>
      <c r="F23" s="2" t="s">
        <v>30</v>
      </c>
      <c r="G23" s="37">
        <f t="shared" ref="G23:O23" si="10">SUM(G17:G22)</f>
        <v>16420.979254406644</v>
      </c>
      <c r="H23" s="37">
        <f t="shared" ref="H23" si="11">SUM(H17:H22)</f>
        <v>23235.551130928747</v>
      </c>
      <c r="I23" s="37">
        <f t="shared" si="10"/>
        <v>16582.636758362216</v>
      </c>
      <c r="J23" s="37">
        <f t="shared" si="10"/>
        <v>15965.849048341082</v>
      </c>
      <c r="K23" s="37">
        <f t="shared" si="10"/>
        <v>15642.964784574982</v>
      </c>
      <c r="L23" s="37">
        <f t="shared" si="10"/>
        <v>14964.838792735563</v>
      </c>
      <c r="M23" s="37">
        <f t="shared" si="10"/>
        <v>13663.476810401584</v>
      </c>
      <c r="N23" s="37">
        <f t="shared" si="10"/>
        <v>12982.216224489799</v>
      </c>
      <c r="O23" s="38">
        <f t="shared" si="10"/>
        <v>12303.138775510206</v>
      </c>
      <c r="S23" s="111" t="s">
        <v>62</v>
      </c>
      <c r="T23" s="138" t="s">
        <v>29</v>
      </c>
      <c r="U23" s="112">
        <f>U13</f>
        <v>1351.1326530612246</v>
      </c>
      <c r="V23" s="112">
        <f>V13</f>
        <v>1241.9413265306123</v>
      </c>
      <c r="W23" s="112">
        <f>W13</f>
        <v>911.375</v>
      </c>
      <c r="X23" s="113">
        <f>X13</f>
        <v>690</v>
      </c>
    </row>
    <row r="24" spans="1:24" ht="15.75" thickBot="1" x14ac:dyDescent="0.3">
      <c r="E24" s="28" t="s">
        <v>0</v>
      </c>
      <c r="F24" s="2" t="s">
        <v>31</v>
      </c>
      <c r="G24" s="64">
        <v>40</v>
      </c>
      <c r="H24" s="64">
        <f>40*(1+C17)</f>
        <v>50</v>
      </c>
      <c r="I24" s="64">
        <v>40</v>
      </c>
      <c r="J24" s="64">
        <v>40</v>
      </c>
      <c r="K24" s="64">
        <v>40</v>
      </c>
      <c r="L24" s="64">
        <v>40</v>
      </c>
      <c r="M24" s="63">
        <v>30</v>
      </c>
      <c r="N24" s="63">
        <v>30</v>
      </c>
      <c r="O24" s="65">
        <v>20</v>
      </c>
      <c r="P24" t="s">
        <v>103</v>
      </c>
      <c r="Q24" s="155"/>
      <c r="S24" s="116" t="s">
        <v>71</v>
      </c>
      <c r="T24" s="139" t="s">
        <v>29</v>
      </c>
      <c r="U24" s="121">
        <f>SUM(U19:U23)</f>
        <v>15296.63529856387</v>
      </c>
      <c r="V24" s="121">
        <f>SUM(V19:V23)</f>
        <v>15029.626055594652</v>
      </c>
      <c r="W24" s="121">
        <f>SUM(W19:W23)</f>
        <v>16974.470238095237</v>
      </c>
      <c r="X24" s="122">
        <f>SUM(X19:X23)</f>
        <v>16268.571428571428</v>
      </c>
    </row>
    <row r="25" spans="1:24" x14ac:dyDescent="0.25">
      <c r="E25" s="30" t="s">
        <v>83</v>
      </c>
      <c r="F25" s="1" t="s">
        <v>34</v>
      </c>
      <c r="G25" s="39">
        <f t="shared" ref="G25:O27" si="12">1/G8</f>
        <v>0.3125</v>
      </c>
      <c r="H25" s="39">
        <f t="shared" ref="H25" si="13">1/H8</f>
        <v>0.3125</v>
      </c>
      <c r="I25" s="39">
        <f t="shared" si="12"/>
        <v>0.3125</v>
      </c>
      <c r="J25" s="39">
        <f t="shared" si="12"/>
        <v>0.3125</v>
      </c>
      <c r="K25" s="39">
        <f t="shared" si="12"/>
        <v>0.3125</v>
      </c>
      <c r="L25" s="39">
        <f t="shared" si="12"/>
        <v>0.29411764705882348</v>
      </c>
      <c r="M25" s="39">
        <f t="shared" si="12"/>
        <v>0.27777777777777779</v>
      </c>
      <c r="N25" s="39">
        <f t="shared" si="12"/>
        <v>0.27777777777777779</v>
      </c>
      <c r="O25" s="40">
        <f t="shared" si="12"/>
        <v>0.27777777777777779</v>
      </c>
    </row>
    <row r="26" spans="1:24" x14ac:dyDescent="0.25">
      <c r="E26" s="30" t="s">
        <v>84</v>
      </c>
      <c r="F26" s="1"/>
      <c r="G26" s="153">
        <f t="shared" si="12"/>
        <v>0.1</v>
      </c>
      <c r="H26" s="153">
        <f t="shared" ref="H26" si="14">1/H9</f>
        <v>0.1</v>
      </c>
      <c r="I26" s="153">
        <f t="shared" si="12"/>
        <v>0.1</v>
      </c>
      <c r="J26" s="153">
        <f t="shared" si="12"/>
        <v>0.1</v>
      </c>
      <c r="K26" s="153">
        <f t="shared" si="12"/>
        <v>0.1</v>
      </c>
      <c r="L26" s="153">
        <f t="shared" si="12"/>
        <v>0.1</v>
      </c>
      <c r="M26" s="153">
        <f t="shared" si="12"/>
        <v>0.1</v>
      </c>
      <c r="N26" s="153">
        <f t="shared" si="12"/>
        <v>0.1</v>
      </c>
      <c r="O26" s="168">
        <f t="shared" si="12"/>
        <v>0.1</v>
      </c>
    </row>
    <row r="27" spans="1:24" x14ac:dyDescent="0.25">
      <c r="E27" s="30" t="s">
        <v>85</v>
      </c>
      <c r="F27" s="1"/>
      <c r="G27" s="153">
        <f t="shared" si="12"/>
        <v>1.0204081632653061</v>
      </c>
      <c r="H27" s="153">
        <f t="shared" ref="H27" si="15">1/H10</f>
        <v>1.0204081632653061</v>
      </c>
      <c r="I27" s="153">
        <f t="shared" si="12"/>
        <v>1.0204081632653061</v>
      </c>
      <c r="J27" s="153">
        <f t="shared" si="12"/>
        <v>1.0204081632653061</v>
      </c>
      <c r="K27" s="153">
        <f t="shared" si="12"/>
        <v>1.0204081632653061</v>
      </c>
      <c r="L27" s="153">
        <f t="shared" si="12"/>
        <v>1.0204081632653061</v>
      </c>
      <c r="M27" s="153">
        <f t="shared" si="12"/>
        <v>1.0204081632653061</v>
      </c>
      <c r="N27" s="153">
        <f t="shared" si="12"/>
        <v>1.0204081632653061</v>
      </c>
      <c r="O27" s="168">
        <f t="shared" si="12"/>
        <v>1.0204081632653061</v>
      </c>
    </row>
    <row r="28" spans="1:24" x14ac:dyDescent="0.25">
      <c r="E28" s="30" t="s">
        <v>26</v>
      </c>
      <c r="F28" s="1" t="s">
        <v>32</v>
      </c>
      <c r="G28" s="79">
        <f t="shared" ref="G28:O28" si="16">$C$11</f>
        <v>23</v>
      </c>
      <c r="H28" s="79">
        <f>$C$11*(1+C17)</f>
        <v>28.75</v>
      </c>
      <c r="I28" s="79">
        <f t="shared" si="16"/>
        <v>23</v>
      </c>
      <c r="J28" s="79">
        <f t="shared" si="16"/>
        <v>23</v>
      </c>
      <c r="K28" s="79">
        <f t="shared" si="16"/>
        <v>23</v>
      </c>
      <c r="L28" s="79">
        <f t="shared" si="16"/>
        <v>23</v>
      </c>
      <c r="M28" s="79">
        <f t="shared" si="16"/>
        <v>23</v>
      </c>
      <c r="N28" s="79">
        <f t="shared" si="16"/>
        <v>23</v>
      </c>
      <c r="O28" s="80">
        <f t="shared" si="16"/>
        <v>23</v>
      </c>
    </row>
    <row r="29" spans="1:24" x14ac:dyDescent="0.25">
      <c r="E29" s="30" t="s">
        <v>27</v>
      </c>
      <c r="F29" s="1" t="s">
        <v>32</v>
      </c>
      <c r="G29" s="81">
        <f>$C$12</f>
        <v>27.3</v>
      </c>
      <c r="H29" s="81">
        <f>$C$12*(1+C17)</f>
        <v>34.125</v>
      </c>
      <c r="I29" s="81">
        <f>$C$12</f>
        <v>27.3</v>
      </c>
      <c r="J29" s="81">
        <f>$C$12</f>
        <v>27.3</v>
      </c>
      <c r="K29" s="81">
        <f>$C$12</f>
        <v>27.3</v>
      </c>
      <c r="L29" s="81">
        <f>$C$12</f>
        <v>27.3</v>
      </c>
      <c r="M29" s="81">
        <f>$C$13</f>
        <v>21.8</v>
      </c>
      <c r="N29" s="81">
        <f>$C$13</f>
        <v>21.8</v>
      </c>
      <c r="O29" s="82">
        <f>$C$13</f>
        <v>21.8</v>
      </c>
    </row>
    <row r="30" spans="1:24" x14ac:dyDescent="0.25">
      <c r="E30" s="30" t="s">
        <v>28</v>
      </c>
      <c r="F30" s="1" t="s">
        <v>32</v>
      </c>
      <c r="G30" s="81">
        <f>$C$14</f>
        <v>16.32</v>
      </c>
      <c r="H30" s="81">
        <f>$C$14*(1+C17)</f>
        <v>20.399999999999999</v>
      </c>
      <c r="I30" s="81">
        <f>$C$14</f>
        <v>16.32</v>
      </c>
      <c r="J30" s="81">
        <f>$C$14</f>
        <v>16.32</v>
      </c>
      <c r="K30" s="81">
        <f>$C$14</f>
        <v>16.32</v>
      </c>
      <c r="L30" s="81">
        <f>$C$14</f>
        <v>16.32</v>
      </c>
      <c r="M30" s="81">
        <f>$C$15</f>
        <v>0.48</v>
      </c>
      <c r="N30" s="81">
        <f>$C$15</f>
        <v>0.48</v>
      </c>
      <c r="O30" s="82">
        <f>$C$15</f>
        <v>0.48</v>
      </c>
    </row>
    <row r="31" spans="1:24" x14ac:dyDescent="0.25">
      <c r="E31" s="29" t="s">
        <v>89</v>
      </c>
      <c r="F31" s="1" t="s">
        <v>32</v>
      </c>
      <c r="G31" s="66">
        <f t="shared" ref="G31:O31" si="17">(G29+G28+G30)</f>
        <v>66.62</v>
      </c>
      <c r="H31" s="66">
        <f t="shared" ref="H31" si="18">(H29+H28+H30)</f>
        <v>83.275000000000006</v>
      </c>
      <c r="I31" s="66">
        <f t="shared" si="17"/>
        <v>66.62</v>
      </c>
      <c r="J31" s="66">
        <f t="shared" si="17"/>
        <v>66.62</v>
      </c>
      <c r="K31" s="66">
        <f t="shared" si="17"/>
        <v>66.62</v>
      </c>
      <c r="L31" s="66">
        <f t="shared" si="17"/>
        <v>66.62</v>
      </c>
      <c r="M31" s="66">
        <f t="shared" si="17"/>
        <v>45.279999999999994</v>
      </c>
      <c r="N31" s="66">
        <f t="shared" si="17"/>
        <v>45.279999999999994</v>
      </c>
      <c r="O31" s="67">
        <f t="shared" si="17"/>
        <v>45.279999999999994</v>
      </c>
    </row>
    <row r="32" spans="1:24" ht="15.75" thickBot="1" x14ac:dyDescent="0.3">
      <c r="E32" s="41" t="s">
        <v>8</v>
      </c>
      <c r="F32" s="42" t="s">
        <v>33</v>
      </c>
      <c r="G32" s="157">
        <v>1.5</v>
      </c>
      <c r="H32" s="157">
        <v>1.5</v>
      </c>
      <c r="I32" s="157">
        <v>1.5</v>
      </c>
      <c r="J32" s="157">
        <v>1.5</v>
      </c>
      <c r="K32" s="157">
        <v>1.5</v>
      </c>
      <c r="L32" s="157">
        <v>1.5</v>
      </c>
      <c r="M32" s="156">
        <v>1.2</v>
      </c>
      <c r="N32" s="156">
        <v>1.2</v>
      </c>
      <c r="O32" s="176">
        <v>1</v>
      </c>
      <c r="P32" t="s">
        <v>103</v>
      </c>
    </row>
    <row r="33" spans="5:17" x14ac:dyDescent="0.25">
      <c r="E33" s="43" t="s">
        <v>14</v>
      </c>
      <c r="F33" s="44" t="s">
        <v>33</v>
      </c>
      <c r="G33" s="45">
        <f>(G38+G39+G40+G41+G42)/G45</f>
        <v>57.533943102690735</v>
      </c>
      <c r="H33" s="45">
        <f>(H38+H39+H40+H41+H42)/H45</f>
        <v>77.054589390909968</v>
      </c>
      <c r="I33" s="45">
        <f t="shared" ref="I33:O33" si="19">(I38+I39+I40+I41+I42)/I45</f>
        <v>57.856867401127339</v>
      </c>
      <c r="J33" s="45">
        <f t="shared" si="19"/>
        <v>56.624782693215224</v>
      </c>
      <c r="K33" s="45">
        <f t="shared" si="19"/>
        <v>55.979794543567976</v>
      </c>
      <c r="L33" s="45">
        <f t="shared" si="19"/>
        <v>48.733201605779513</v>
      </c>
      <c r="M33" s="45">
        <f t="shared" si="19"/>
        <v>38.646317826577373</v>
      </c>
      <c r="N33" s="45">
        <f t="shared" si="19"/>
        <v>37.4948085196854</v>
      </c>
      <c r="O33" s="45">
        <f t="shared" si="19"/>
        <v>35.998020062709536</v>
      </c>
    </row>
    <row r="34" spans="5:17" x14ac:dyDescent="0.25">
      <c r="E34" s="46" t="s">
        <v>44</v>
      </c>
      <c r="F34" s="47"/>
      <c r="G34" s="178">
        <v>0.8</v>
      </c>
      <c r="H34" s="178">
        <v>0.8</v>
      </c>
      <c r="I34" s="178">
        <v>0.8</v>
      </c>
      <c r="J34" s="178">
        <v>0.8</v>
      </c>
      <c r="K34" s="178">
        <v>0.8</v>
      </c>
      <c r="L34" s="178">
        <v>0.8</v>
      </c>
      <c r="M34" s="178">
        <v>0.8</v>
      </c>
      <c r="N34" s="178">
        <v>0.8</v>
      </c>
      <c r="O34" s="178">
        <v>0.8</v>
      </c>
    </row>
    <row r="35" spans="5:17" ht="15.75" thickBot="1" x14ac:dyDescent="0.3">
      <c r="E35" s="48" t="s">
        <v>15</v>
      </c>
      <c r="F35" s="49" t="s">
        <v>33</v>
      </c>
      <c r="G35" s="5">
        <f t="shared" ref="G35:O35" si="20">G33*G34</f>
        <v>46.027154482152589</v>
      </c>
      <c r="H35" s="5">
        <f t="shared" ref="H35" si="21">H33*H34</f>
        <v>61.643671512727977</v>
      </c>
      <c r="I35" s="5">
        <f t="shared" si="20"/>
        <v>46.285493920901871</v>
      </c>
      <c r="J35" s="5">
        <f t="shared" si="20"/>
        <v>45.29982615457218</v>
      </c>
      <c r="K35" s="5">
        <f t="shared" si="20"/>
        <v>44.783835634854384</v>
      </c>
      <c r="L35" s="5">
        <f t="shared" si="20"/>
        <v>38.986561284623612</v>
      </c>
      <c r="M35" s="5">
        <f t="shared" si="20"/>
        <v>30.917054261261899</v>
      </c>
      <c r="N35" s="5">
        <f t="shared" si="20"/>
        <v>29.995846815748322</v>
      </c>
      <c r="O35" s="18">
        <f t="shared" si="20"/>
        <v>28.798416050167631</v>
      </c>
    </row>
    <row r="36" spans="5:17" x14ac:dyDescent="0.25">
      <c r="G36" s="7"/>
      <c r="H36" s="7"/>
      <c r="I36" s="7"/>
      <c r="J36" s="7"/>
      <c r="K36" s="7"/>
      <c r="L36" s="7"/>
      <c r="M36" s="7"/>
      <c r="N36" s="7"/>
      <c r="O36" s="7"/>
    </row>
    <row r="37" spans="5:17" x14ac:dyDescent="0.25">
      <c r="E37" s="50" t="s">
        <v>9</v>
      </c>
      <c r="F37" s="51"/>
      <c r="G37" s="52"/>
      <c r="H37" s="52"/>
      <c r="I37" s="52"/>
      <c r="J37" s="53"/>
      <c r="K37" s="53"/>
      <c r="L37" s="53"/>
      <c r="M37" s="53"/>
      <c r="N37" s="53"/>
      <c r="O37" s="53"/>
    </row>
    <row r="38" spans="5:17" x14ac:dyDescent="0.25">
      <c r="E38" s="54" t="str">
        <f>E14</f>
        <v>Investeringskostnader</v>
      </c>
      <c r="F38" s="8" t="s">
        <v>10</v>
      </c>
      <c r="G38" s="55">
        <f t="shared" ref="G38:O38" si="22">G23*100*1000*G6</f>
        <v>16420979.254406644</v>
      </c>
      <c r="H38" s="55">
        <f t="shared" ref="H38" si="23">H23*100*1000*H6</f>
        <v>23235551.130928747</v>
      </c>
      <c r="I38" s="55">
        <f t="shared" si="22"/>
        <v>58039228.654267758</v>
      </c>
      <c r="J38" s="55">
        <f t="shared" si="22"/>
        <v>119743867.86255811</v>
      </c>
      <c r="K38" s="55">
        <f t="shared" si="22"/>
        <v>234644471.76862469</v>
      </c>
      <c r="L38" s="55">
        <f t="shared" si="22"/>
        <v>748241939.63677824</v>
      </c>
      <c r="M38" s="55">
        <f t="shared" si="22"/>
        <v>1366347681.0401585</v>
      </c>
      <c r="N38" s="55">
        <f t="shared" si="22"/>
        <v>6491108112.2448997</v>
      </c>
      <c r="O38" s="55">
        <f t="shared" si="22"/>
        <v>12303138775.510206</v>
      </c>
    </row>
    <row r="39" spans="5:17" x14ac:dyDescent="0.25">
      <c r="E39" s="56" t="str">
        <f>E24</f>
        <v>Faste driftskostnader</v>
      </c>
      <c r="F39" s="9" t="s">
        <v>10</v>
      </c>
      <c r="G39" s="57">
        <f t="shared" ref="G39:O39" si="24">-PV($C$8,$C$7,G24*100*1000*G6)</f>
        <v>458796.84874261048</v>
      </c>
      <c r="H39" s="57">
        <f t="shared" ref="H39" si="25">-PV($C$8,$C$7,H24*100*1000*H6)</f>
        <v>573496.06092826312</v>
      </c>
      <c r="I39" s="57">
        <f t="shared" si="24"/>
        <v>1605788.9705991368</v>
      </c>
      <c r="J39" s="57">
        <f t="shared" si="24"/>
        <v>3440976.3655695785</v>
      </c>
      <c r="K39" s="57">
        <f t="shared" si="24"/>
        <v>6881952.731139157</v>
      </c>
      <c r="L39" s="57">
        <f t="shared" si="24"/>
        <v>22939842.437130526</v>
      </c>
      <c r="M39" s="57">
        <f t="shared" si="24"/>
        <v>34409763.655695789</v>
      </c>
      <c r="N39" s="57">
        <f t="shared" si="24"/>
        <v>172048818.27847895</v>
      </c>
      <c r="O39" s="57">
        <f t="shared" si="24"/>
        <v>229398424.37130529</v>
      </c>
    </row>
    <row r="40" spans="5:17" x14ac:dyDescent="0.25">
      <c r="E40" s="56" t="str">
        <f>E32</f>
        <v>Variable kostnader eks brensel</v>
      </c>
      <c r="F40" s="9" t="s">
        <v>10</v>
      </c>
      <c r="G40" s="57">
        <f t="shared" ref="G40:O40" si="26">-PV($C$8,$C$7,G32*1000*G6*G11)</f>
        <v>550556.2184911326</v>
      </c>
      <c r="H40" s="57">
        <f t="shared" ref="H40" si="27">-PV($C$8,$C$7,H32*1000*H6*H11)</f>
        <v>550556.2184911326</v>
      </c>
      <c r="I40" s="57">
        <f t="shared" si="26"/>
        <v>1926946.7647189645</v>
      </c>
      <c r="J40" s="57">
        <f t="shared" si="26"/>
        <v>4129171.6386834946</v>
      </c>
      <c r="K40" s="57">
        <f t="shared" si="26"/>
        <v>8258343.2773669893</v>
      </c>
      <c r="L40" s="57">
        <f t="shared" si="26"/>
        <v>34409763.655695789</v>
      </c>
      <c r="M40" s="57">
        <f t="shared" si="26"/>
        <v>55055621.849113256</v>
      </c>
      <c r="N40" s="57">
        <f t="shared" si="26"/>
        <v>275278109.24556631</v>
      </c>
      <c r="O40" s="57">
        <f t="shared" si="26"/>
        <v>458796848.74261057</v>
      </c>
    </row>
    <row r="41" spans="5:17" x14ac:dyDescent="0.25">
      <c r="E41" s="56" t="s">
        <v>87</v>
      </c>
      <c r="F41" s="9" t="s">
        <v>10</v>
      </c>
      <c r="G41" s="57">
        <f t="shared" ref="G41:O41" si="28">-PV($C$8,$C$7,G31*G25*G6*G11*1000)-PV($C$8,$C$7,G31*G27*G7*G13*1000)</f>
        <v>10760143.767158456</v>
      </c>
      <c r="H41" s="57">
        <f t="shared" ref="H41" si="29">-PV($C$8,$C$7,H31*H25*H6*H11*1000)-PV($C$8,$C$7,H31*H27*H7*H13*1000)</f>
        <v>13450179.708948068</v>
      </c>
      <c r="I41" s="57">
        <f t="shared" si="28"/>
        <v>37660503.1850546</v>
      </c>
      <c r="J41" s="57">
        <f t="shared" si="28"/>
        <v>80701078.25368841</v>
      </c>
      <c r="K41" s="57">
        <f t="shared" si="28"/>
        <v>161402156.50737682</v>
      </c>
      <c r="L41" s="57">
        <f t="shared" si="28"/>
        <v>605430084.08564198</v>
      </c>
      <c r="M41" s="57">
        <f t="shared" si="28"/>
        <v>789047351.3840034</v>
      </c>
      <c r="N41" s="57">
        <f t="shared" si="28"/>
        <v>3945236756.9200168</v>
      </c>
      <c r="O41" s="57">
        <f t="shared" si="28"/>
        <v>7890473513.8400335</v>
      </c>
    </row>
    <row r="42" spans="5:17" x14ac:dyDescent="0.25">
      <c r="E42" s="56" t="s">
        <v>88</v>
      </c>
      <c r="F42" s="9"/>
      <c r="G42" s="57">
        <f t="shared" ref="G42:O42" si="30">-PV($C$8,$C$7,G31*G26*G6*G12*1000)</f>
        <v>611300.92126465426</v>
      </c>
      <c r="H42" s="57">
        <f t="shared" ref="H42" si="31">-PV($C$8,$C$7,H31*H26*H6*H12*1000)</f>
        <v>764126.15158081788</v>
      </c>
      <c r="I42" s="57">
        <f t="shared" si="30"/>
        <v>2139553.22442629</v>
      </c>
      <c r="J42" s="57">
        <f t="shared" si="30"/>
        <v>4584756.9094849071</v>
      </c>
      <c r="K42" s="57">
        <f t="shared" si="30"/>
        <v>9169513.8189698141</v>
      </c>
      <c r="L42" s="57">
        <f t="shared" si="30"/>
        <v>30565046.063232712</v>
      </c>
      <c r="M42" s="57">
        <f t="shared" si="30"/>
        <v>41548642.622130804</v>
      </c>
      <c r="N42" s="57">
        <f t="shared" si="30"/>
        <v>207743213.110654</v>
      </c>
      <c r="O42" s="57">
        <f t="shared" si="30"/>
        <v>415486426.22130799</v>
      </c>
    </row>
    <row r="43" spans="5:17" x14ac:dyDescent="0.25">
      <c r="E43" s="96" t="s">
        <v>59</v>
      </c>
      <c r="F43" s="97" t="s">
        <v>11</v>
      </c>
      <c r="G43" s="58">
        <f t="shared" ref="G43:O43" si="32">-PV($C$8+$C$10,$C$7,G6*G11*1000)-PV($C$8+$C$10,$C$7,G7*G13*1000)</f>
        <v>409585.87244577293</v>
      </c>
      <c r="H43" s="58">
        <f t="shared" ref="H43" si="33">-PV($C$8+$C$10,$C$7,H6*H11*1000)-PV($C$8+$C$10,$C$7,H7*H13*1000)</f>
        <v>409585.87244577293</v>
      </c>
      <c r="I43" s="58">
        <f t="shared" si="32"/>
        <v>1433550.5535602055</v>
      </c>
      <c r="J43" s="58">
        <f t="shared" si="32"/>
        <v>3071894.0433432963</v>
      </c>
      <c r="K43" s="58">
        <f t="shared" si="32"/>
        <v>6143788.0866865925</v>
      </c>
      <c r="L43" s="58">
        <f t="shared" si="32"/>
        <v>25030247.760575015</v>
      </c>
      <c r="M43" s="58">
        <f t="shared" si="32"/>
        <v>50060495.52115003</v>
      </c>
      <c r="N43" s="58">
        <f t="shared" si="32"/>
        <v>250302477.60575011</v>
      </c>
      <c r="O43" s="58">
        <f t="shared" si="32"/>
        <v>500604955.21150023</v>
      </c>
    </row>
    <row r="44" spans="5:17" x14ac:dyDescent="0.25">
      <c r="E44" s="96" t="s">
        <v>86</v>
      </c>
      <c r="F44" s="97"/>
      <c r="G44" s="58">
        <f t="shared" ref="G44:O44" si="34">-PV($C$8+$C$10,$C$7,G6*G12*1000)</f>
        <v>91019.082765727318</v>
      </c>
      <c r="H44" s="58">
        <f t="shared" ref="H44" si="35">-PV($C$8+$C$10,$C$7,H6*H12*1000)</f>
        <v>91019.082765727318</v>
      </c>
      <c r="I44" s="58">
        <f t="shared" si="34"/>
        <v>318566.78968004568</v>
      </c>
      <c r="J44" s="58">
        <f t="shared" si="34"/>
        <v>682643.12074295478</v>
      </c>
      <c r="K44" s="58">
        <f t="shared" si="34"/>
        <v>1365286.2414859096</v>
      </c>
      <c r="L44" s="58">
        <f t="shared" si="34"/>
        <v>4550954.1382863652</v>
      </c>
      <c r="M44" s="58">
        <f t="shared" si="34"/>
        <v>9101908.2765727304</v>
      </c>
      <c r="N44" s="58">
        <f t="shared" si="34"/>
        <v>45509541.382863663</v>
      </c>
      <c r="O44" s="58">
        <f t="shared" si="34"/>
        <v>91019082.765727326</v>
      </c>
    </row>
    <row r="45" spans="5:17" x14ac:dyDescent="0.25">
      <c r="E45" s="98" t="s">
        <v>60</v>
      </c>
      <c r="F45" s="4" t="s">
        <v>2</v>
      </c>
      <c r="G45" s="59">
        <f t="shared" ref="G45:J45" si="36">SUM(G43:G44)</f>
        <v>500604.95521150023</v>
      </c>
      <c r="H45" s="59">
        <f t="shared" ref="H45" si="37">SUM(H43:H44)</f>
        <v>500604.95521150023</v>
      </c>
      <c r="I45" s="59">
        <f t="shared" si="36"/>
        <v>1752117.3432402513</v>
      </c>
      <c r="J45" s="59">
        <f t="shared" si="36"/>
        <v>3754537.1640862511</v>
      </c>
      <c r="K45" s="59">
        <f>SUM(K43:K44)</f>
        <v>7509074.3281725021</v>
      </c>
      <c r="L45" s="59">
        <f t="shared" ref="L45:O45" si="38">SUM(L43:L44)</f>
        <v>29581201.898861378</v>
      </c>
      <c r="M45" s="59">
        <f t="shared" si="38"/>
        <v>59162403.797722757</v>
      </c>
      <c r="N45" s="59">
        <f t="shared" si="38"/>
        <v>295812018.98861378</v>
      </c>
      <c r="O45" s="59">
        <f t="shared" si="38"/>
        <v>591624037.97722757</v>
      </c>
    </row>
    <row r="46" spans="5:17" ht="15.75" thickBot="1" x14ac:dyDescent="0.3"/>
    <row r="47" spans="5:17" ht="15.75" thickBot="1" x14ac:dyDescent="0.3">
      <c r="E47" s="261" t="s">
        <v>95</v>
      </c>
      <c r="F47" s="262"/>
      <c r="G47" s="262"/>
      <c r="H47" s="262"/>
      <c r="I47" s="262"/>
      <c r="J47" s="262"/>
      <c r="K47" s="262"/>
      <c r="L47" s="262"/>
      <c r="M47" s="262"/>
      <c r="N47" s="262"/>
      <c r="O47" s="263"/>
      <c r="P47" s="14"/>
      <c r="Q47" s="14"/>
    </row>
    <row r="48" spans="5:17" ht="15.75" thickBot="1" x14ac:dyDescent="0.3">
      <c r="E48" s="23"/>
      <c r="F48" s="24" t="s">
        <v>3</v>
      </c>
      <c r="G48" s="25"/>
      <c r="H48" s="25" t="s">
        <v>114</v>
      </c>
      <c r="I48" s="26"/>
      <c r="J48" s="60"/>
      <c r="K48" s="60"/>
      <c r="L48" s="26"/>
      <c r="M48" s="25"/>
      <c r="N48" s="25"/>
      <c r="O48" s="27"/>
      <c r="P48" s="14"/>
      <c r="Q48" s="14"/>
    </row>
    <row r="49" spans="5:25" ht="15.75" thickBot="1" x14ac:dyDescent="0.3">
      <c r="E49" s="83" t="s">
        <v>82</v>
      </c>
      <c r="F49" s="84" t="s">
        <v>23</v>
      </c>
      <c r="G49" s="173">
        <v>0.01</v>
      </c>
      <c r="H49" s="173">
        <v>0.01</v>
      </c>
      <c r="I49" s="173">
        <v>3.5000000000000003E-2</v>
      </c>
      <c r="J49" s="174">
        <v>7.4999999999999997E-2</v>
      </c>
      <c r="K49" s="174">
        <v>0.15</v>
      </c>
      <c r="L49" s="173">
        <v>0.5</v>
      </c>
      <c r="M49" s="173">
        <v>1</v>
      </c>
      <c r="N49" s="173">
        <v>5</v>
      </c>
      <c r="O49" s="175">
        <v>10</v>
      </c>
      <c r="P49" s="17" t="s">
        <v>13</v>
      </c>
      <c r="Q49" s="17" t="s">
        <v>12</v>
      </c>
    </row>
    <row r="50" spans="5:25" x14ac:dyDescent="0.25">
      <c r="E50" s="169" t="s">
        <v>76</v>
      </c>
      <c r="F50" s="170"/>
      <c r="G50" s="140"/>
      <c r="H50" s="140"/>
      <c r="I50" s="140"/>
      <c r="J50" s="140"/>
      <c r="K50" s="140">
        <v>0.3</v>
      </c>
      <c r="L50" s="140"/>
      <c r="M50" s="140">
        <v>2</v>
      </c>
      <c r="N50" s="140">
        <v>10</v>
      </c>
      <c r="O50" s="141">
        <v>20</v>
      </c>
      <c r="P50" s="17"/>
      <c r="Q50" s="17"/>
    </row>
    <row r="51" spans="5:25" x14ac:dyDescent="0.25">
      <c r="E51" s="41" t="s">
        <v>58</v>
      </c>
      <c r="F51" s="161"/>
      <c r="G51" s="140">
        <v>3</v>
      </c>
      <c r="H51" s="140">
        <v>3</v>
      </c>
      <c r="I51" s="140">
        <v>3</v>
      </c>
      <c r="J51" s="140">
        <v>3</v>
      </c>
      <c r="K51" s="140">
        <v>3</v>
      </c>
      <c r="L51" s="140">
        <v>3.2</v>
      </c>
      <c r="M51" s="140">
        <v>3.4</v>
      </c>
      <c r="N51" s="140">
        <v>3.4</v>
      </c>
      <c r="O51" s="141">
        <v>3.4</v>
      </c>
      <c r="P51" t="s">
        <v>105</v>
      </c>
    </row>
    <row r="52" spans="5:25" x14ac:dyDescent="0.25">
      <c r="E52" s="29" t="s">
        <v>77</v>
      </c>
      <c r="F52" s="162"/>
      <c r="G52" s="33">
        <v>10</v>
      </c>
      <c r="H52" s="33">
        <v>10</v>
      </c>
      <c r="I52" s="33">
        <v>10</v>
      </c>
      <c r="J52" s="33">
        <v>10</v>
      </c>
      <c r="K52" s="33">
        <v>10</v>
      </c>
      <c r="L52" s="33">
        <v>10</v>
      </c>
      <c r="M52" s="33">
        <v>10</v>
      </c>
      <c r="N52" s="33">
        <v>10</v>
      </c>
      <c r="O52" s="34">
        <v>10</v>
      </c>
    </row>
    <row r="53" spans="5:25" x14ac:dyDescent="0.25">
      <c r="E53" s="165" t="s">
        <v>78</v>
      </c>
      <c r="F53" s="163"/>
      <c r="G53" s="149">
        <v>0.98</v>
      </c>
      <c r="H53" s="149">
        <v>0.98</v>
      </c>
      <c r="I53" s="149">
        <v>0.98</v>
      </c>
      <c r="J53" s="149">
        <v>0.98</v>
      </c>
      <c r="K53" s="149">
        <v>0.98</v>
      </c>
      <c r="L53" s="149">
        <v>0.98</v>
      </c>
      <c r="M53" s="149">
        <v>0.98</v>
      </c>
      <c r="N53" s="149">
        <v>0.98</v>
      </c>
      <c r="O53" s="166">
        <v>0.98</v>
      </c>
    </row>
    <row r="54" spans="5:25" x14ac:dyDescent="0.25">
      <c r="E54" s="29" t="s">
        <v>79</v>
      </c>
      <c r="F54" s="75" t="s">
        <v>4</v>
      </c>
      <c r="G54" s="143">
        <v>3200</v>
      </c>
      <c r="H54" s="143">
        <v>3200</v>
      </c>
      <c r="I54" s="143">
        <v>3200</v>
      </c>
      <c r="J54" s="144">
        <v>3200</v>
      </c>
      <c r="K54" s="144">
        <v>3200</v>
      </c>
      <c r="L54" s="142">
        <v>4000</v>
      </c>
      <c r="M54" s="142">
        <v>4000</v>
      </c>
      <c r="N54" s="142">
        <v>4000</v>
      </c>
      <c r="O54" s="145">
        <v>4000</v>
      </c>
      <c r="P54" t="s">
        <v>106</v>
      </c>
    </row>
    <row r="55" spans="5:25" x14ac:dyDescent="0.25">
      <c r="E55" s="29" t="s">
        <v>80</v>
      </c>
      <c r="F55" s="162"/>
      <c r="G55" s="144">
        <v>800</v>
      </c>
      <c r="H55" s="144">
        <v>800</v>
      </c>
      <c r="I55" s="144">
        <v>800</v>
      </c>
      <c r="J55" s="144">
        <v>800</v>
      </c>
      <c r="K55" s="144">
        <v>800</v>
      </c>
      <c r="L55" s="144">
        <v>800</v>
      </c>
      <c r="M55" s="144">
        <v>800</v>
      </c>
      <c r="N55" s="144">
        <v>800</v>
      </c>
      <c r="O55" s="154">
        <v>800</v>
      </c>
    </row>
    <row r="56" spans="5:25" x14ac:dyDescent="0.25">
      <c r="E56" s="165" t="s">
        <v>81</v>
      </c>
      <c r="F56" s="163"/>
      <c r="G56" s="146">
        <v>200</v>
      </c>
      <c r="H56" s="146">
        <v>200</v>
      </c>
      <c r="I56" s="146">
        <v>200</v>
      </c>
      <c r="J56" s="146">
        <v>200</v>
      </c>
      <c r="K56" s="146">
        <v>200</v>
      </c>
      <c r="L56" s="146">
        <v>200</v>
      </c>
      <c r="M56" s="146">
        <v>200</v>
      </c>
      <c r="N56" s="146">
        <v>200</v>
      </c>
      <c r="O56" s="167">
        <v>200</v>
      </c>
    </row>
    <row r="57" spans="5:25" x14ac:dyDescent="0.25">
      <c r="E57" s="29" t="s">
        <v>5</v>
      </c>
      <c r="F57" s="91"/>
      <c r="G57" s="75"/>
      <c r="H57" s="75"/>
      <c r="I57" s="76"/>
      <c r="J57" s="77"/>
      <c r="K57" s="77"/>
      <c r="L57" s="92"/>
      <c r="M57" s="75"/>
      <c r="N57" s="75"/>
      <c r="O57" s="78"/>
      <c r="R57" s="100"/>
      <c r="S57" s="100"/>
      <c r="T57" s="100"/>
      <c r="U57" s="100"/>
      <c r="V57" s="100"/>
      <c r="W57" s="100"/>
      <c r="X57" s="100"/>
      <c r="Y57" s="100"/>
    </row>
    <row r="58" spans="5:25" x14ac:dyDescent="0.25">
      <c r="E58" s="30" t="s">
        <v>40</v>
      </c>
      <c r="F58" s="164" t="s">
        <v>41</v>
      </c>
      <c r="G58" s="31">
        <v>50000</v>
      </c>
      <c r="H58" s="31">
        <f>50000*(1+C17)</f>
        <v>62500</v>
      </c>
      <c r="I58" s="31">
        <v>100000</v>
      </c>
      <c r="J58" s="61">
        <v>170000</v>
      </c>
      <c r="K58" s="61">
        <v>300000</v>
      </c>
      <c r="L58" s="71">
        <v>850000</v>
      </c>
      <c r="M58" s="31">
        <v>1500000</v>
      </c>
      <c r="N58" s="31">
        <v>7000000</v>
      </c>
      <c r="O58" s="31">
        <v>14000000</v>
      </c>
      <c r="P58" t="s">
        <v>107</v>
      </c>
      <c r="Q58" t="s">
        <v>54</v>
      </c>
    </row>
    <row r="59" spans="5:25" x14ac:dyDescent="0.25">
      <c r="E59" s="30" t="s">
        <v>42</v>
      </c>
      <c r="F59" s="164" t="s">
        <v>43</v>
      </c>
      <c r="G59" s="61">
        <f>(3300*G49*1000)</f>
        <v>33000</v>
      </c>
      <c r="H59" s="61">
        <f>(3300*H49*1000)*(1+C17)</f>
        <v>41250</v>
      </c>
      <c r="I59" s="61">
        <f>(3300*I49*1000)</f>
        <v>115500.00000000001</v>
      </c>
      <c r="J59" s="61">
        <f>(3300*J49*1000)</f>
        <v>247500</v>
      </c>
      <c r="K59" s="61">
        <f>(3300*K49*1000)</f>
        <v>495000</v>
      </c>
      <c r="L59" s="61">
        <f>(3300*L49*1000)</f>
        <v>1650000</v>
      </c>
      <c r="M59" s="31">
        <f>(2160*M49*1000)</f>
        <v>2160000</v>
      </c>
      <c r="N59" s="31">
        <f>(2013*N49*1000)</f>
        <v>10065000</v>
      </c>
      <c r="O59" s="32">
        <f>(1870*O49*1000)</f>
        <v>18700000</v>
      </c>
      <c r="P59" t="s">
        <v>102</v>
      </c>
    </row>
    <row r="60" spans="5:25" x14ac:dyDescent="0.25">
      <c r="E60" s="30" t="s">
        <v>91</v>
      </c>
      <c r="F60" s="19" t="s">
        <v>29</v>
      </c>
      <c r="G60" s="74">
        <f t="shared" ref="G60:O61" si="39">G58/(G$6*1000)</f>
        <v>5000</v>
      </c>
      <c r="H60" s="74">
        <f>H58/(H$6*1000)*(1+C17)</f>
        <v>7812.5</v>
      </c>
      <c r="I60" s="74">
        <f t="shared" si="39"/>
        <v>2857.1428571428573</v>
      </c>
      <c r="J60" s="74">
        <f t="shared" si="39"/>
        <v>2266.6666666666665</v>
      </c>
      <c r="K60" s="74">
        <f t="shared" si="39"/>
        <v>2000</v>
      </c>
      <c r="L60" s="90">
        <f t="shared" si="39"/>
        <v>1700</v>
      </c>
      <c r="M60" s="74">
        <f t="shared" si="39"/>
        <v>1500</v>
      </c>
      <c r="N60" s="74">
        <f t="shared" si="39"/>
        <v>1400</v>
      </c>
      <c r="O60" s="89">
        <f t="shared" si="39"/>
        <v>1400</v>
      </c>
    </row>
    <row r="61" spans="5:25" x14ac:dyDescent="0.25">
      <c r="E61" s="30" t="s">
        <v>25</v>
      </c>
      <c r="F61" s="1" t="s">
        <v>29</v>
      </c>
      <c r="G61" s="74">
        <f t="shared" si="39"/>
        <v>3300</v>
      </c>
      <c r="H61" s="74">
        <f>H59/(H$6*1000)*(1+C17)</f>
        <v>5156.25</v>
      </c>
      <c r="I61" s="74">
        <f t="shared" si="39"/>
        <v>3300.0000000000005</v>
      </c>
      <c r="J61" s="74">
        <f t="shared" si="39"/>
        <v>3300</v>
      </c>
      <c r="K61" s="74">
        <f t="shared" si="39"/>
        <v>3300</v>
      </c>
      <c r="L61" s="90">
        <f t="shared" si="39"/>
        <v>3300</v>
      </c>
      <c r="M61" s="74">
        <f t="shared" si="39"/>
        <v>2160</v>
      </c>
      <c r="N61" s="74">
        <f t="shared" si="39"/>
        <v>2013</v>
      </c>
      <c r="O61" s="89">
        <f t="shared" si="39"/>
        <v>1870</v>
      </c>
    </row>
    <row r="62" spans="5:25" x14ac:dyDescent="0.25">
      <c r="E62" s="30" t="s">
        <v>92</v>
      </c>
      <c r="F62" s="1"/>
      <c r="G62" s="74">
        <v>5600</v>
      </c>
      <c r="H62" s="74">
        <f>5600*(1+C17)</f>
        <v>7000</v>
      </c>
      <c r="I62" s="74">
        <v>8000</v>
      </c>
      <c r="J62" s="74">
        <v>8000</v>
      </c>
      <c r="K62" s="74">
        <f>U9</f>
        <v>7955.6650246305408</v>
      </c>
      <c r="L62" s="74">
        <f>$U$19</f>
        <v>7645.5026455026446</v>
      </c>
      <c r="M62" s="74">
        <f>V9</f>
        <v>7741.9354838709678</v>
      </c>
      <c r="N62" s="74">
        <f>W9</f>
        <v>7653.0612244897957</v>
      </c>
      <c r="O62" s="89">
        <f>X9</f>
        <v>7346.9387755102043</v>
      </c>
      <c r="P62" t="s">
        <v>103</v>
      </c>
    </row>
    <row r="63" spans="5:25" x14ac:dyDescent="0.25">
      <c r="E63" s="30" t="s">
        <v>61</v>
      </c>
      <c r="F63" s="1"/>
      <c r="G63" s="74">
        <f>$U$11</f>
        <v>800</v>
      </c>
      <c r="H63" s="74">
        <f>$U$11*(1+C17)</f>
        <v>1000</v>
      </c>
      <c r="I63" s="74">
        <f t="shared" ref="I63:J63" si="40">$U$11</f>
        <v>800</v>
      </c>
      <c r="J63" s="74">
        <f t="shared" si="40"/>
        <v>800</v>
      </c>
      <c r="K63" s="74">
        <f>U11</f>
        <v>800</v>
      </c>
      <c r="L63" s="74">
        <f>$V$11</f>
        <v>800</v>
      </c>
      <c r="M63" s="74">
        <f>V11</f>
        <v>800</v>
      </c>
      <c r="N63" s="74">
        <f>W11</f>
        <v>800</v>
      </c>
      <c r="O63" s="89">
        <f>X11</f>
        <v>800</v>
      </c>
      <c r="P63" t="s">
        <v>103</v>
      </c>
    </row>
    <row r="64" spans="5:25" x14ac:dyDescent="0.25">
      <c r="E64" s="30" t="s">
        <v>62</v>
      </c>
      <c r="F64" s="1"/>
      <c r="G64" s="74">
        <f>$U$13</f>
        <v>1351.1326530612246</v>
      </c>
      <c r="H64" s="74">
        <f>$U$13*(1+C17)</f>
        <v>1688.9158163265306</v>
      </c>
      <c r="I64" s="74">
        <f t="shared" ref="I64:J64" si="41">$U$13</f>
        <v>1351.1326530612246</v>
      </c>
      <c r="J64" s="74">
        <f t="shared" si="41"/>
        <v>1351.1326530612246</v>
      </c>
      <c r="K64" s="74">
        <f>U13</f>
        <v>1351.1326530612246</v>
      </c>
      <c r="L64" s="74">
        <f>(K64+M64)/2</f>
        <v>1296.5369897959185</v>
      </c>
      <c r="M64" s="74">
        <f>V13</f>
        <v>1241.9413265306123</v>
      </c>
      <c r="N64" s="74">
        <f>W13</f>
        <v>911.375</v>
      </c>
      <c r="O64" s="89">
        <f>X13</f>
        <v>690</v>
      </c>
      <c r="P64" t="s">
        <v>103</v>
      </c>
    </row>
    <row r="65" spans="5:25" x14ac:dyDescent="0.25">
      <c r="E65" s="3" t="s">
        <v>6</v>
      </c>
      <c r="F65" s="19" t="s">
        <v>29</v>
      </c>
      <c r="G65" s="35">
        <f t="shared" ref="G65:O65" si="42">SUM(G60:G61)*(((1+($C$8))*((1+$C$8)^($C$5)-1))/($C$8*$C$5))-SUM(G60:G61)</f>
        <v>369.84660134541809</v>
      </c>
      <c r="H65" s="35">
        <f t="shared" ref="H65" si="43">SUM(H60:H61)*(((1+($C$8))*((1+$C$8)^($C$5)-1))/($C$8*$C$5))-SUM(H60:H61)</f>
        <v>577.88531460221748</v>
      </c>
      <c r="I65" s="35">
        <f t="shared" si="42"/>
        <v>274.36124815813309</v>
      </c>
      <c r="J65" s="35">
        <f t="shared" si="42"/>
        <v>248.0497286131922</v>
      </c>
      <c r="K65" s="35">
        <f t="shared" si="42"/>
        <v>236.16710688321928</v>
      </c>
      <c r="L65" s="35">
        <f t="shared" si="42"/>
        <v>222.79915743699894</v>
      </c>
      <c r="M65" s="35">
        <f t="shared" si="42"/>
        <v>163.08898324388338</v>
      </c>
      <c r="N65" s="35">
        <f t="shared" si="42"/>
        <v>152.08270486649553</v>
      </c>
      <c r="O65" s="36">
        <f t="shared" si="42"/>
        <v>145.71064896379767</v>
      </c>
    </row>
    <row r="66" spans="5:25" x14ac:dyDescent="0.25">
      <c r="E66" s="28" t="s">
        <v>7</v>
      </c>
      <c r="F66" s="2" t="s">
        <v>30</v>
      </c>
      <c r="G66" s="37">
        <f t="shared" ref="G66:O66" si="44">SUM(G60:G65)</f>
        <v>16420.979254406644</v>
      </c>
      <c r="H66" s="37">
        <f t="shared" ref="H66" si="45">SUM(H60:H65)</f>
        <v>23235.551130928747</v>
      </c>
      <c r="I66" s="37">
        <f t="shared" si="44"/>
        <v>16582.636758362216</v>
      </c>
      <c r="J66" s="37">
        <f t="shared" si="44"/>
        <v>15965.849048341082</v>
      </c>
      <c r="K66" s="37">
        <f t="shared" si="44"/>
        <v>15642.964784574982</v>
      </c>
      <c r="L66" s="37">
        <f t="shared" si="44"/>
        <v>14964.838792735563</v>
      </c>
      <c r="M66" s="37">
        <f t="shared" si="44"/>
        <v>13606.965793645464</v>
      </c>
      <c r="N66" s="37">
        <f t="shared" si="44"/>
        <v>12929.518929356293</v>
      </c>
      <c r="O66" s="38">
        <f t="shared" si="44"/>
        <v>12252.649424474001</v>
      </c>
      <c r="Q66" s="73">
        <f>14782*150</f>
        <v>2217300</v>
      </c>
    </row>
    <row r="67" spans="5:25" x14ac:dyDescent="0.25">
      <c r="E67" s="28" t="s">
        <v>0</v>
      </c>
      <c r="F67" s="2" t="s">
        <v>31</v>
      </c>
      <c r="G67" s="64">
        <v>40</v>
      </c>
      <c r="H67" s="64">
        <f>40*(1+C17)</f>
        <v>50</v>
      </c>
      <c r="I67" s="64">
        <v>40</v>
      </c>
      <c r="J67" s="64">
        <v>40</v>
      </c>
      <c r="K67" s="64">
        <v>40</v>
      </c>
      <c r="L67" s="64">
        <v>40</v>
      </c>
      <c r="M67" s="63">
        <v>30</v>
      </c>
      <c r="N67" s="63">
        <v>30</v>
      </c>
      <c r="O67" s="65">
        <v>20</v>
      </c>
      <c r="P67" t="s">
        <v>103</v>
      </c>
    </row>
    <row r="68" spans="5:25" x14ac:dyDescent="0.25">
      <c r="E68" s="30" t="s">
        <v>83</v>
      </c>
      <c r="F68" s="1" t="s">
        <v>34</v>
      </c>
      <c r="G68" s="39">
        <f t="shared" ref="G68:O70" si="46">1/G51</f>
        <v>0.33333333333333331</v>
      </c>
      <c r="H68" s="39">
        <f t="shared" ref="H68" si="47">1/H51</f>
        <v>0.33333333333333331</v>
      </c>
      <c r="I68" s="39">
        <f t="shared" si="46"/>
        <v>0.33333333333333331</v>
      </c>
      <c r="J68" s="39">
        <f t="shared" si="46"/>
        <v>0.33333333333333331</v>
      </c>
      <c r="K68" s="39">
        <f t="shared" si="46"/>
        <v>0.33333333333333331</v>
      </c>
      <c r="L68" s="39">
        <f t="shared" si="46"/>
        <v>0.3125</v>
      </c>
      <c r="M68" s="39">
        <f t="shared" si="46"/>
        <v>0.29411764705882354</v>
      </c>
      <c r="N68" s="39">
        <f t="shared" si="46"/>
        <v>0.29411764705882354</v>
      </c>
      <c r="O68" s="40">
        <f t="shared" si="46"/>
        <v>0.29411764705882354</v>
      </c>
    </row>
    <row r="69" spans="5:25" x14ac:dyDescent="0.25">
      <c r="E69" s="30" t="s">
        <v>84</v>
      </c>
      <c r="F69" s="1"/>
      <c r="G69" s="153">
        <f t="shared" si="46"/>
        <v>0.1</v>
      </c>
      <c r="H69" s="153">
        <f t="shared" ref="H69" si="48">1/H52</f>
        <v>0.1</v>
      </c>
      <c r="I69" s="153">
        <f t="shared" si="46"/>
        <v>0.1</v>
      </c>
      <c r="J69" s="153">
        <f t="shared" si="46"/>
        <v>0.1</v>
      </c>
      <c r="K69" s="153">
        <f t="shared" si="46"/>
        <v>0.1</v>
      </c>
      <c r="L69" s="153">
        <f t="shared" si="46"/>
        <v>0.1</v>
      </c>
      <c r="M69" s="153">
        <f t="shared" si="46"/>
        <v>0.1</v>
      </c>
      <c r="N69" s="153">
        <f t="shared" si="46"/>
        <v>0.1</v>
      </c>
      <c r="O69" s="168">
        <f t="shared" si="46"/>
        <v>0.1</v>
      </c>
    </row>
    <row r="70" spans="5:25" x14ac:dyDescent="0.25">
      <c r="E70" s="30" t="s">
        <v>85</v>
      </c>
      <c r="F70" s="1"/>
      <c r="G70" s="153">
        <f t="shared" si="46"/>
        <v>1.0204081632653061</v>
      </c>
      <c r="H70" s="153">
        <f t="shared" ref="H70" si="49">1/H53</f>
        <v>1.0204081632653061</v>
      </c>
      <c r="I70" s="153">
        <f t="shared" si="46"/>
        <v>1.0204081632653061</v>
      </c>
      <c r="J70" s="153">
        <f t="shared" si="46"/>
        <v>1.0204081632653061</v>
      </c>
      <c r="K70" s="153">
        <f t="shared" si="46"/>
        <v>1.0204081632653061</v>
      </c>
      <c r="L70" s="153">
        <f t="shared" si="46"/>
        <v>1.0204081632653061</v>
      </c>
      <c r="M70" s="153">
        <f t="shared" si="46"/>
        <v>1.0204081632653061</v>
      </c>
      <c r="N70" s="153">
        <f t="shared" si="46"/>
        <v>1.0204081632653061</v>
      </c>
      <c r="O70" s="168">
        <f t="shared" si="46"/>
        <v>1.0204081632653061</v>
      </c>
    </row>
    <row r="71" spans="5:25" x14ac:dyDescent="0.25">
      <c r="E71" s="30" t="s">
        <v>26</v>
      </c>
      <c r="F71" s="1" t="s">
        <v>32</v>
      </c>
      <c r="G71" s="79">
        <f t="shared" ref="G71:O71" si="50">$C$11</f>
        <v>23</v>
      </c>
      <c r="H71" s="79">
        <f>$C$11*(1+C17)</f>
        <v>28.75</v>
      </c>
      <c r="I71" s="79">
        <f t="shared" si="50"/>
        <v>23</v>
      </c>
      <c r="J71" s="79">
        <f t="shared" si="50"/>
        <v>23</v>
      </c>
      <c r="K71" s="79">
        <f t="shared" si="50"/>
        <v>23</v>
      </c>
      <c r="L71" s="79">
        <f t="shared" si="50"/>
        <v>23</v>
      </c>
      <c r="M71" s="79">
        <f t="shared" si="50"/>
        <v>23</v>
      </c>
      <c r="N71" s="79">
        <f t="shared" si="50"/>
        <v>23</v>
      </c>
      <c r="O71" s="80">
        <f t="shared" si="50"/>
        <v>23</v>
      </c>
      <c r="R71" s="73"/>
      <c r="S71" s="73"/>
      <c r="T71" s="73"/>
      <c r="U71" s="73"/>
      <c r="V71" s="73"/>
      <c r="W71" s="73"/>
      <c r="X71" s="73"/>
      <c r="Y71" s="73"/>
    </row>
    <row r="72" spans="5:25" x14ac:dyDescent="0.25">
      <c r="E72" s="30" t="s">
        <v>27</v>
      </c>
      <c r="F72" s="1" t="s">
        <v>32</v>
      </c>
      <c r="G72" s="81">
        <f>$C$12</f>
        <v>27.3</v>
      </c>
      <c r="H72" s="81">
        <f>$C$12*(1+C17)</f>
        <v>34.125</v>
      </c>
      <c r="I72" s="81">
        <f>$C$12</f>
        <v>27.3</v>
      </c>
      <c r="J72" s="81">
        <f>$C$12</f>
        <v>27.3</v>
      </c>
      <c r="K72" s="81">
        <f>$C$12</f>
        <v>27.3</v>
      </c>
      <c r="L72" s="81">
        <f>$C$12</f>
        <v>27.3</v>
      </c>
      <c r="M72" s="81">
        <f>$C$13</f>
        <v>21.8</v>
      </c>
      <c r="N72" s="81">
        <f>$C$13</f>
        <v>21.8</v>
      </c>
      <c r="O72" s="82">
        <f>$C$13</f>
        <v>21.8</v>
      </c>
    </row>
    <row r="73" spans="5:25" x14ac:dyDescent="0.25">
      <c r="E73" s="30" t="s">
        <v>28</v>
      </c>
      <c r="F73" s="1" t="s">
        <v>32</v>
      </c>
      <c r="G73" s="93">
        <f>$C$14</f>
        <v>16.32</v>
      </c>
      <c r="H73" s="93">
        <f>$C$14*(1+C17)</f>
        <v>20.399999999999999</v>
      </c>
      <c r="I73" s="93">
        <f>$C$14</f>
        <v>16.32</v>
      </c>
      <c r="J73" s="81">
        <f>$C$14</f>
        <v>16.32</v>
      </c>
      <c r="K73" s="81">
        <f>$C$14</f>
        <v>16.32</v>
      </c>
      <c r="L73" s="81">
        <f>$C$14</f>
        <v>16.32</v>
      </c>
      <c r="M73" s="93">
        <f>$C$15</f>
        <v>0.48</v>
      </c>
      <c r="N73" s="93">
        <f>$C$15</f>
        <v>0.48</v>
      </c>
      <c r="O73" s="94">
        <f>$C$15</f>
        <v>0.48</v>
      </c>
    </row>
    <row r="74" spans="5:25" x14ac:dyDescent="0.25">
      <c r="E74" s="29" t="s">
        <v>89</v>
      </c>
      <c r="F74" s="1" t="s">
        <v>32</v>
      </c>
      <c r="G74" s="66">
        <f t="shared" ref="G74:O74" si="51">(G72+G71+G73)</f>
        <v>66.62</v>
      </c>
      <c r="H74" s="66">
        <f t="shared" ref="H74" si="52">(H72+H71+H73)</f>
        <v>83.275000000000006</v>
      </c>
      <c r="I74" s="66">
        <f t="shared" si="51"/>
        <v>66.62</v>
      </c>
      <c r="J74" s="66">
        <f t="shared" si="51"/>
        <v>66.62</v>
      </c>
      <c r="K74" s="66">
        <f t="shared" si="51"/>
        <v>66.62</v>
      </c>
      <c r="L74" s="66">
        <f t="shared" si="51"/>
        <v>66.62</v>
      </c>
      <c r="M74" s="66">
        <f t="shared" si="51"/>
        <v>45.279999999999994</v>
      </c>
      <c r="N74" s="66">
        <f t="shared" si="51"/>
        <v>45.279999999999994</v>
      </c>
      <c r="O74" s="67">
        <f t="shared" si="51"/>
        <v>45.279999999999994</v>
      </c>
    </row>
    <row r="75" spans="5:25" ht="15.75" thickBot="1" x14ac:dyDescent="0.3">
      <c r="E75" s="41" t="s">
        <v>8</v>
      </c>
      <c r="F75" s="42" t="s">
        <v>33</v>
      </c>
      <c r="G75" s="157">
        <v>1.5</v>
      </c>
      <c r="H75" s="157">
        <f>1.5*(1+C17)</f>
        <v>1.875</v>
      </c>
      <c r="I75" s="157">
        <v>1.5</v>
      </c>
      <c r="J75" s="157">
        <v>1.5</v>
      </c>
      <c r="K75" s="157">
        <v>1.5</v>
      </c>
      <c r="L75" s="157">
        <v>1.5</v>
      </c>
      <c r="M75" s="156">
        <v>1.2</v>
      </c>
      <c r="N75" s="156">
        <v>1.2</v>
      </c>
      <c r="O75" s="176">
        <v>1</v>
      </c>
      <c r="P75" t="s">
        <v>103</v>
      </c>
    </row>
    <row r="76" spans="5:25" x14ac:dyDescent="0.25">
      <c r="E76" s="43" t="s">
        <v>14</v>
      </c>
      <c r="F76" s="44" t="s">
        <v>33</v>
      </c>
      <c r="G76" s="45">
        <f>(G81+G82+G83+G84+G85)/G88</f>
        <v>57.553452302999894</v>
      </c>
      <c r="H76" s="45">
        <f>(H81+H82+H83+H84+H85)/H88</f>
        <v>77.89513193741908</v>
      </c>
      <c r="I76" s="45">
        <f t="shared" ref="I76:O76" si="53">(I81+I82+I83+I84+I85)/I88</f>
        <v>57.908669031280169</v>
      </c>
      <c r="J76" s="45">
        <f t="shared" si="53"/>
        <v>56.553375852576814</v>
      </c>
      <c r="K76" s="45">
        <f t="shared" si="53"/>
        <v>56.997398203068293</v>
      </c>
      <c r="L76" s="45">
        <f t="shared" si="53"/>
        <v>48.112088022693463</v>
      </c>
      <c r="M76" s="45">
        <f t="shared" si="53"/>
        <v>39.124558499212142</v>
      </c>
      <c r="N76" s="45">
        <f t="shared" si="53"/>
        <v>37.979495383444615</v>
      </c>
      <c r="O76" s="45">
        <f t="shared" si="53"/>
        <v>36.486438931856576</v>
      </c>
      <c r="Q76" t="s">
        <v>55</v>
      </c>
    </row>
    <row r="77" spans="5:25" x14ac:dyDescent="0.25">
      <c r="E77" s="46" t="s">
        <v>44</v>
      </c>
      <c r="F77" s="47"/>
      <c r="G77" s="178">
        <v>0.8</v>
      </c>
      <c r="H77" s="178">
        <v>0.8</v>
      </c>
      <c r="I77" s="178">
        <v>0.8</v>
      </c>
      <c r="J77" s="178">
        <v>0.8</v>
      </c>
      <c r="K77" s="178">
        <v>0.8</v>
      </c>
      <c r="L77" s="178">
        <v>0.8</v>
      </c>
      <c r="M77" s="178">
        <v>0.8</v>
      </c>
      <c r="N77" s="178">
        <v>0.8</v>
      </c>
      <c r="O77" s="178">
        <v>0.8</v>
      </c>
    </row>
    <row r="78" spans="5:25" ht="15.75" thickBot="1" x14ac:dyDescent="0.3">
      <c r="E78" s="48" t="s">
        <v>15</v>
      </c>
      <c r="F78" s="49" t="s">
        <v>33</v>
      </c>
      <c r="G78" s="5">
        <f t="shared" ref="G78:O78" si="54">G76*G77</f>
        <v>46.042761842399919</v>
      </c>
      <c r="H78" s="5">
        <f t="shared" ref="H78" si="55">H76*H77</f>
        <v>62.316105549935266</v>
      </c>
      <c r="I78" s="5">
        <f t="shared" si="54"/>
        <v>46.326935225024137</v>
      </c>
      <c r="J78" s="5">
        <f t="shared" si="54"/>
        <v>45.242700682061454</v>
      </c>
      <c r="K78" s="5">
        <f t="shared" si="54"/>
        <v>45.597918562454637</v>
      </c>
      <c r="L78" s="5">
        <f t="shared" si="54"/>
        <v>38.489670418154773</v>
      </c>
      <c r="M78" s="5">
        <f t="shared" si="54"/>
        <v>31.299646799369715</v>
      </c>
      <c r="N78" s="5">
        <f t="shared" si="54"/>
        <v>30.383596306755692</v>
      </c>
      <c r="O78" s="18">
        <f t="shared" si="54"/>
        <v>29.189151145485262</v>
      </c>
    </row>
    <row r="79" spans="5:25" x14ac:dyDescent="0.25">
      <c r="G79" s="7"/>
      <c r="H79" s="7"/>
      <c r="I79" s="7"/>
      <c r="J79" s="7"/>
      <c r="K79" s="7"/>
      <c r="L79" s="7"/>
      <c r="M79" s="7"/>
      <c r="N79" s="7"/>
      <c r="O79" s="7"/>
    </row>
    <row r="80" spans="5:25" x14ac:dyDescent="0.25">
      <c r="E80" s="50" t="s">
        <v>9</v>
      </c>
      <c r="F80" s="51"/>
      <c r="G80" s="52"/>
      <c r="H80" s="52"/>
      <c r="I80" s="52"/>
      <c r="J80" s="53"/>
      <c r="K80" s="53"/>
      <c r="L80" s="53"/>
      <c r="M80" s="53"/>
      <c r="N80" s="53"/>
      <c r="O80" s="53"/>
    </row>
    <row r="81" spans="5:17" x14ac:dyDescent="0.25">
      <c r="E81" s="54" t="str">
        <f>E57</f>
        <v>Investeringskostnader</v>
      </c>
      <c r="F81" s="8" t="s">
        <v>10</v>
      </c>
      <c r="G81" s="55">
        <f t="shared" ref="G81:O81" si="56">G66*100*1000*G49</f>
        <v>16420979.254406644</v>
      </c>
      <c r="H81" s="55">
        <f t="shared" ref="H81" si="57">H66*100*1000*H49</f>
        <v>23235551.130928747</v>
      </c>
      <c r="I81" s="55">
        <f t="shared" si="56"/>
        <v>58039228.654267758</v>
      </c>
      <c r="J81" s="55">
        <f t="shared" si="56"/>
        <v>119743867.86255811</v>
      </c>
      <c r="K81" s="55">
        <f t="shared" si="56"/>
        <v>234644471.76862469</v>
      </c>
      <c r="L81" s="55">
        <f t="shared" si="56"/>
        <v>748241939.63677824</v>
      </c>
      <c r="M81" s="55">
        <f t="shared" si="56"/>
        <v>1360696579.3645463</v>
      </c>
      <c r="N81" s="55">
        <f t="shared" si="56"/>
        <v>6464759464.6781454</v>
      </c>
      <c r="O81" s="55">
        <f t="shared" si="56"/>
        <v>12252649424.473999</v>
      </c>
    </row>
    <row r="82" spans="5:17" x14ac:dyDescent="0.25">
      <c r="E82" s="56" t="str">
        <f>E67</f>
        <v>Faste driftskostnader</v>
      </c>
      <c r="F82" s="9" t="s">
        <v>10</v>
      </c>
      <c r="G82" s="57">
        <f t="shared" ref="G82:O82" si="58">-PV($C$8,$C$7,G67*100*1000*G49)</f>
        <v>458796.84874261048</v>
      </c>
      <c r="H82" s="57">
        <f t="shared" ref="H82" si="59">-PV($C$8,$C$7,H67*100*1000*H49)</f>
        <v>573496.06092826312</v>
      </c>
      <c r="I82" s="57">
        <f t="shared" si="58"/>
        <v>1605788.9705991368</v>
      </c>
      <c r="J82" s="57">
        <f t="shared" si="58"/>
        <v>3440976.3655695785</v>
      </c>
      <c r="K82" s="57">
        <f t="shared" si="58"/>
        <v>6881952.731139157</v>
      </c>
      <c r="L82" s="57">
        <f t="shared" si="58"/>
        <v>22939842.437130526</v>
      </c>
      <c r="M82" s="57">
        <f t="shared" si="58"/>
        <v>34409763.655695789</v>
      </c>
      <c r="N82" s="57">
        <f t="shared" si="58"/>
        <v>172048818.27847895</v>
      </c>
      <c r="O82" s="57">
        <f t="shared" si="58"/>
        <v>229398424.37130529</v>
      </c>
    </row>
    <row r="83" spans="5:17" x14ac:dyDescent="0.25">
      <c r="E83" s="56" t="str">
        <f>E75</f>
        <v>Variable kostnader eks brensel</v>
      </c>
      <c r="F83" s="9" t="s">
        <v>10</v>
      </c>
      <c r="G83" s="57">
        <f t="shared" ref="G83:O83" si="60">-PV($C$8,$C$7,G75*1000*G49*G54)</f>
        <v>550556.2184911326</v>
      </c>
      <c r="H83" s="57">
        <f t="shared" ref="H83" si="61">-PV($C$8,$C$7,H75*1000*H49*H54)</f>
        <v>688195.27311391581</v>
      </c>
      <c r="I83" s="57">
        <f t="shared" si="60"/>
        <v>1926946.7647189645</v>
      </c>
      <c r="J83" s="57">
        <f t="shared" si="60"/>
        <v>4129171.6386834946</v>
      </c>
      <c r="K83" s="57">
        <f t="shared" si="60"/>
        <v>8258343.2773669893</v>
      </c>
      <c r="L83" s="57">
        <f t="shared" si="60"/>
        <v>34409763.655695789</v>
      </c>
      <c r="M83" s="57">
        <f t="shared" si="60"/>
        <v>55055621.849113256</v>
      </c>
      <c r="N83" s="57">
        <f t="shared" si="60"/>
        <v>275278109.24556631</v>
      </c>
      <c r="O83" s="57">
        <f t="shared" si="60"/>
        <v>458796848.74261057</v>
      </c>
    </row>
    <row r="84" spans="5:17" x14ac:dyDescent="0.25">
      <c r="E84" s="56" t="s">
        <v>87</v>
      </c>
      <c r="F84" s="9" t="s">
        <v>10</v>
      </c>
      <c r="G84" s="57">
        <f t="shared" ref="G84:O84" si="62">-PV($C$8,$C$7,G74*G68*G49*G54*1000)-PV($C$8,$C$7,G74*G70*G50*G56*1000)</f>
        <v>8150678.9501953898</v>
      </c>
      <c r="H84" s="57">
        <f t="shared" ref="H84" si="63">-PV($C$8,$C$7,H74*H68*H49*H54*1000)-PV($C$8,$C$7,H74*H70*H50*H56*1000)</f>
        <v>10188348.687744237</v>
      </c>
      <c r="I84" s="57">
        <f t="shared" si="62"/>
        <v>28527376.325683869</v>
      </c>
      <c r="J84" s="57">
        <f t="shared" si="62"/>
        <v>61130092.126465425</v>
      </c>
      <c r="K84" s="57">
        <f t="shared" si="62"/>
        <v>169043418.02318501</v>
      </c>
      <c r="L84" s="57">
        <f t="shared" si="62"/>
        <v>477578844.73801106</v>
      </c>
      <c r="M84" s="57">
        <f t="shared" si="62"/>
        <v>822992320.84652853</v>
      </c>
      <c r="N84" s="57">
        <f t="shared" si="62"/>
        <v>4114961604.2326427</v>
      </c>
      <c r="O84" s="57">
        <f t="shared" si="62"/>
        <v>8229923208.4652853</v>
      </c>
    </row>
    <row r="85" spans="5:17" x14ac:dyDescent="0.25">
      <c r="E85" s="56" t="s">
        <v>88</v>
      </c>
      <c r="F85" s="9"/>
      <c r="G85" s="57">
        <f t="shared" ref="G85:O85" si="64">-PV($C$8,$C$7,G74*G69*G49*G55*1000)</f>
        <v>611300.92126465426</v>
      </c>
      <c r="H85" s="57">
        <f t="shared" ref="H85" si="65">-PV($C$8,$C$7,H74*H69*H49*H55*1000)</f>
        <v>764126.15158081788</v>
      </c>
      <c r="I85" s="57">
        <f t="shared" si="64"/>
        <v>2139553.22442629</v>
      </c>
      <c r="J85" s="57">
        <f t="shared" si="64"/>
        <v>4584756.9094849071</v>
      </c>
      <c r="K85" s="57">
        <f t="shared" si="64"/>
        <v>9169513.8189698141</v>
      </c>
      <c r="L85" s="57">
        <f t="shared" si="64"/>
        <v>30565046.063232712</v>
      </c>
      <c r="M85" s="57">
        <f t="shared" si="64"/>
        <v>41548642.622130804</v>
      </c>
      <c r="N85" s="57">
        <f t="shared" si="64"/>
        <v>207743213.110654</v>
      </c>
      <c r="O85" s="57">
        <f t="shared" si="64"/>
        <v>415486426.22130799</v>
      </c>
    </row>
    <row r="86" spans="5:17" x14ac:dyDescent="0.25">
      <c r="E86" s="96" t="s">
        <v>59</v>
      </c>
      <c r="F86" s="97" t="s">
        <v>11</v>
      </c>
      <c r="G86" s="58">
        <f t="shared" ref="G86:O86" si="66">-PV($C$8+$C$10,$C$7,G49*G54*1000)-PV($C$8+$C$10,$C$7,G50*G56*1000)</f>
        <v>364076.33106290927</v>
      </c>
      <c r="H86" s="58">
        <f t="shared" ref="H86" si="67">-PV($C$8+$C$10,$C$7,H49*H54*1000)-PV($C$8+$C$10,$C$7,H50*H56*1000)</f>
        <v>364076.33106290927</v>
      </c>
      <c r="I86" s="58">
        <f t="shared" si="66"/>
        <v>1274267.1587201827</v>
      </c>
      <c r="J86" s="58">
        <f t="shared" si="66"/>
        <v>2730572.4829718191</v>
      </c>
      <c r="K86" s="58">
        <f t="shared" si="66"/>
        <v>6143788.0866865925</v>
      </c>
      <c r="L86" s="58">
        <f t="shared" si="66"/>
        <v>22754770.691431832</v>
      </c>
      <c r="M86" s="58">
        <f t="shared" si="66"/>
        <v>50060495.52115003</v>
      </c>
      <c r="N86" s="58">
        <f t="shared" si="66"/>
        <v>250302477.60575011</v>
      </c>
      <c r="O86" s="58">
        <f t="shared" si="66"/>
        <v>500604955.21150023</v>
      </c>
    </row>
    <row r="87" spans="5:17" x14ac:dyDescent="0.25">
      <c r="E87" s="96" t="s">
        <v>86</v>
      </c>
      <c r="F87" s="97"/>
      <c r="G87" s="58">
        <f t="shared" ref="G87:O87" si="68">-PV($C$8+$C$10,$C$7,G49*G55*1000)</f>
        <v>91019.082765727318</v>
      </c>
      <c r="H87" s="58">
        <f t="shared" ref="H87" si="69">-PV($C$8+$C$10,$C$7,H49*H55*1000)</f>
        <v>91019.082765727318</v>
      </c>
      <c r="I87" s="58">
        <f t="shared" si="68"/>
        <v>318566.78968004568</v>
      </c>
      <c r="J87" s="58">
        <f t="shared" si="68"/>
        <v>682643.12074295478</v>
      </c>
      <c r="K87" s="58">
        <f t="shared" si="68"/>
        <v>1365286.2414859096</v>
      </c>
      <c r="L87" s="58">
        <f t="shared" si="68"/>
        <v>4550954.1382863652</v>
      </c>
      <c r="M87" s="58">
        <f t="shared" si="68"/>
        <v>9101908.2765727304</v>
      </c>
      <c r="N87" s="58">
        <f t="shared" si="68"/>
        <v>45509541.382863663</v>
      </c>
      <c r="O87" s="58">
        <f t="shared" si="68"/>
        <v>91019082.765727326</v>
      </c>
    </row>
    <row r="88" spans="5:17" x14ac:dyDescent="0.25">
      <c r="E88" s="98" t="s">
        <v>60</v>
      </c>
      <c r="F88" s="4" t="s">
        <v>2</v>
      </c>
      <c r="G88" s="59">
        <f t="shared" ref="G88:H88" si="70">SUM(G86:G87)</f>
        <v>455095.41382863658</v>
      </c>
      <c r="H88" s="59">
        <f t="shared" si="70"/>
        <v>455095.41382863658</v>
      </c>
      <c r="I88" s="59">
        <f t="shared" ref="I88:J88" si="71">SUM(I86:I87)</f>
        <v>1592833.9484002283</v>
      </c>
      <c r="J88" s="59">
        <f t="shared" si="71"/>
        <v>3413215.6037147739</v>
      </c>
      <c r="K88" s="59">
        <f>SUM(K86:K87)</f>
        <v>7509074.3281725021</v>
      </c>
      <c r="L88" s="59">
        <f t="shared" ref="L88:O88" si="72">SUM(L86:L87)</f>
        <v>27305724.829718195</v>
      </c>
      <c r="M88" s="59">
        <f t="shared" si="72"/>
        <v>59162403.797722757</v>
      </c>
      <c r="N88" s="59">
        <f t="shared" si="72"/>
        <v>295812018.98861378</v>
      </c>
      <c r="O88" s="59">
        <f t="shared" si="72"/>
        <v>591624037.97722757</v>
      </c>
    </row>
    <row r="89" spans="5:17" ht="15.75" thickBot="1" x14ac:dyDescent="0.3"/>
    <row r="90" spans="5:17" ht="15.75" thickBot="1" x14ac:dyDescent="0.3">
      <c r="E90" s="261" t="s">
        <v>96</v>
      </c>
      <c r="F90" s="262"/>
      <c r="G90" s="262"/>
      <c r="H90" s="262"/>
      <c r="I90" s="262"/>
      <c r="J90" s="262"/>
      <c r="K90" s="262"/>
      <c r="L90" s="262"/>
      <c r="M90" s="262"/>
      <c r="N90" s="262"/>
      <c r="O90" s="263"/>
      <c r="P90" s="14"/>
      <c r="Q90" s="14"/>
    </row>
    <row r="91" spans="5:17" x14ac:dyDescent="0.25">
      <c r="E91" s="83"/>
      <c r="F91" s="84" t="s">
        <v>3</v>
      </c>
      <c r="G91" s="223"/>
      <c r="H91" s="223" t="s">
        <v>113</v>
      </c>
      <c r="I91" s="86" t="s">
        <v>39</v>
      </c>
      <c r="J91" s="202"/>
      <c r="K91" s="87"/>
      <c r="L91" s="86"/>
      <c r="M91" s="85"/>
      <c r="N91" s="85"/>
      <c r="O91" s="88"/>
      <c r="P91" s="14"/>
      <c r="Q91" s="14"/>
    </row>
    <row r="92" spans="5:17" ht="15.75" thickBot="1" x14ac:dyDescent="0.3">
      <c r="E92" s="23" t="s">
        <v>82</v>
      </c>
      <c r="F92" s="24" t="s">
        <v>23</v>
      </c>
      <c r="G92" s="224">
        <v>0.01</v>
      </c>
      <c r="H92" s="224">
        <v>0.01</v>
      </c>
      <c r="I92" s="150">
        <v>3.5000000000000003E-2</v>
      </c>
      <c r="J92" s="203"/>
      <c r="K92" s="151">
        <v>0.15</v>
      </c>
      <c r="L92" s="150">
        <v>0.5</v>
      </c>
      <c r="M92" s="150">
        <v>1</v>
      </c>
      <c r="N92" s="150">
        <v>5</v>
      </c>
      <c r="O92" s="152">
        <v>10</v>
      </c>
      <c r="P92" s="17" t="s">
        <v>13</v>
      </c>
      <c r="Q92" s="17" t="s">
        <v>12</v>
      </c>
    </row>
    <row r="93" spans="5:17" x14ac:dyDescent="0.25">
      <c r="E93" s="169" t="s">
        <v>76</v>
      </c>
      <c r="F93" s="170"/>
      <c r="G93" s="225">
        <v>0.02</v>
      </c>
      <c r="H93" s="225">
        <v>0.02</v>
      </c>
      <c r="I93" s="140">
        <v>7.0000000000000007E-2</v>
      </c>
      <c r="J93" s="181"/>
      <c r="K93" s="140">
        <v>0.3</v>
      </c>
      <c r="L93" s="140">
        <v>1</v>
      </c>
      <c r="M93" s="140">
        <v>2</v>
      </c>
      <c r="N93" s="140">
        <v>10</v>
      </c>
      <c r="O93" s="141">
        <v>20</v>
      </c>
      <c r="P93" s="17"/>
      <c r="Q93" s="17"/>
    </row>
    <row r="94" spans="5:17" x14ac:dyDescent="0.25">
      <c r="E94" s="41" t="s">
        <v>58</v>
      </c>
      <c r="F94" s="161"/>
      <c r="G94" s="226">
        <v>2.5</v>
      </c>
      <c r="H94" s="226">
        <v>2.5</v>
      </c>
      <c r="I94" s="140">
        <v>3.5</v>
      </c>
      <c r="J94" s="181"/>
      <c r="K94" s="140">
        <v>2.5</v>
      </c>
      <c r="L94" s="140">
        <v>2.6</v>
      </c>
      <c r="M94" s="140">
        <v>2.8</v>
      </c>
      <c r="N94" s="140">
        <v>2.8</v>
      </c>
      <c r="O94" s="141">
        <v>2.8</v>
      </c>
      <c r="P94" t="s">
        <v>108</v>
      </c>
    </row>
    <row r="95" spans="5:17" x14ac:dyDescent="0.25">
      <c r="E95" s="29" t="s">
        <v>77</v>
      </c>
      <c r="F95" s="162"/>
      <c r="G95" s="227">
        <v>10</v>
      </c>
      <c r="H95" s="227">
        <v>10</v>
      </c>
      <c r="I95" s="33">
        <v>10</v>
      </c>
      <c r="J95" s="182"/>
      <c r="K95" s="33">
        <v>10</v>
      </c>
      <c r="L95" s="33">
        <v>10</v>
      </c>
      <c r="M95" s="33">
        <v>10</v>
      </c>
      <c r="N95" s="33">
        <v>10</v>
      </c>
      <c r="O95" s="34">
        <v>10</v>
      </c>
    </row>
    <row r="96" spans="5:17" x14ac:dyDescent="0.25">
      <c r="E96" s="165" t="s">
        <v>78</v>
      </c>
      <c r="F96" s="163"/>
      <c r="G96" s="228">
        <v>0.98</v>
      </c>
      <c r="H96" s="228">
        <v>0.98</v>
      </c>
      <c r="I96" s="149">
        <v>0.98</v>
      </c>
      <c r="J96" s="183"/>
      <c r="K96" s="149">
        <v>0.98</v>
      </c>
      <c r="L96" s="149">
        <v>0.98</v>
      </c>
      <c r="M96" s="149">
        <v>0.98</v>
      </c>
      <c r="N96" s="149">
        <v>0.98</v>
      </c>
      <c r="O96" s="166">
        <v>0.98</v>
      </c>
    </row>
    <row r="97" spans="5:25" x14ac:dyDescent="0.25">
      <c r="E97" s="29" t="s">
        <v>79</v>
      </c>
      <c r="F97" s="75" t="s">
        <v>4</v>
      </c>
      <c r="G97" s="229">
        <v>3200</v>
      </c>
      <c r="H97" s="229">
        <v>3200</v>
      </c>
      <c r="I97" s="143">
        <v>3200</v>
      </c>
      <c r="J97" s="184"/>
      <c r="K97" s="144">
        <v>3200</v>
      </c>
      <c r="L97" s="142">
        <v>4000</v>
      </c>
      <c r="M97" s="142">
        <v>4000</v>
      </c>
      <c r="N97" s="142">
        <v>4000</v>
      </c>
      <c r="O97" s="145">
        <v>4000</v>
      </c>
      <c r="P97" t="s">
        <v>106</v>
      </c>
    </row>
    <row r="98" spans="5:25" x14ac:dyDescent="0.25">
      <c r="E98" s="29" t="s">
        <v>80</v>
      </c>
      <c r="F98" s="162"/>
      <c r="G98" s="230">
        <v>800</v>
      </c>
      <c r="H98" s="230">
        <v>800</v>
      </c>
      <c r="I98" s="256">
        <v>0</v>
      </c>
      <c r="J98" s="184"/>
      <c r="K98" s="144">
        <v>800</v>
      </c>
      <c r="L98" s="144">
        <v>800</v>
      </c>
      <c r="M98" s="144">
        <v>800</v>
      </c>
      <c r="N98" s="144">
        <v>800</v>
      </c>
      <c r="O98" s="154">
        <v>800</v>
      </c>
    </row>
    <row r="99" spans="5:25" x14ac:dyDescent="0.25">
      <c r="E99" s="165" t="s">
        <v>81</v>
      </c>
      <c r="F99" s="163"/>
      <c r="G99" s="231">
        <v>100</v>
      </c>
      <c r="H99" s="231">
        <v>100</v>
      </c>
      <c r="I99" s="146">
        <v>100</v>
      </c>
      <c r="J99" s="185"/>
      <c r="K99" s="146">
        <v>100</v>
      </c>
      <c r="L99" s="146">
        <v>100</v>
      </c>
      <c r="M99" s="146">
        <v>100</v>
      </c>
      <c r="N99" s="146">
        <v>100</v>
      </c>
      <c r="O99" s="167">
        <v>100</v>
      </c>
    </row>
    <row r="100" spans="5:25" x14ac:dyDescent="0.25">
      <c r="E100" s="29" t="s">
        <v>5</v>
      </c>
      <c r="F100" s="91"/>
      <c r="G100" s="232"/>
      <c r="H100" s="232"/>
      <c r="I100" s="76"/>
      <c r="J100" s="204"/>
      <c r="K100" s="77"/>
      <c r="L100" s="92"/>
      <c r="M100" s="75"/>
      <c r="N100" s="75"/>
      <c r="O100" s="78"/>
      <c r="R100" s="100"/>
      <c r="S100" s="100"/>
      <c r="T100" s="100"/>
      <c r="U100" s="100"/>
      <c r="V100" s="100"/>
      <c r="W100" s="100"/>
      <c r="X100" s="100"/>
      <c r="Y100" s="100"/>
    </row>
    <row r="101" spans="5:25" x14ac:dyDescent="0.25">
      <c r="E101" s="30" t="s">
        <v>40</v>
      </c>
      <c r="F101" s="164" t="s">
        <v>41</v>
      </c>
      <c r="G101" s="233">
        <v>100000</v>
      </c>
      <c r="H101" s="233">
        <f>100000*(1+C17)</f>
        <v>125000</v>
      </c>
      <c r="I101" s="142">
        <f>450000*0.035/0.05</f>
        <v>315000</v>
      </c>
      <c r="J101" s="205"/>
      <c r="K101" s="61">
        <v>500000</v>
      </c>
      <c r="L101" s="71">
        <v>2000000</v>
      </c>
      <c r="M101" s="31">
        <v>4000000</v>
      </c>
      <c r="N101" s="31">
        <v>18500000</v>
      </c>
      <c r="O101" s="32">
        <v>35000000</v>
      </c>
      <c r="P101" t="s">
        <v>107</v>
      </c>
    </row>
    <row r="102" spans="5:25" x14ac:dyDescent="0.25">
      <c r="E102" s="30" t="s">
        <v>42</v>
      </c>
      <c r="F102" s="164" t="s">
        <v>43</v>
      </c>
      <c r="G102" s="234">
        <f>(3300*G92*1000)</f>
        <v>33000</v>
      </c>
      <c r="H102" s="234">
        <f>(3300*H92*1000)*(1+C17)</f>
        <v>41250</v>
      </c>
      <c r="I102" s="61">
        <f>(3300*I92*1000)</f>
        <v>115500.00000000001</v>
      </c>
      <c r="J102" s="205"/>
      <c r="K102" s="61">
        <f>(3300*K92*1000)</f>
        <v>495000</v>
      </c>
      <c r="L102" s="72">
        <f>(3300*L92*1000)</f>
        <v>1650000</v>
      </c>
      <c r="M102" s="31">
        <f>(2160*M92*1000)</f>
        <v>2160000</v>
      </c>
      <c r="N102" s="31">
        <f>(2013*N92*1000)</f>
        <v>10065000</v>
      </c>
      <c r="O102" s="32">
        <f>(1870*O92*1000)</f>
        <v>18700000</v>
      </c>
      <c r="P102" t="s">
        <v>102</v>
      </c>
    </row>
    <row r="103" spans="5:25" x14ac:dyDescent="0.25">
      <c r="E103" s="30" t="s">
        <v>91</v>
      </c>
      <c r="F103" s="19" t="s">
        <v>29</v>
      </c>
      <c r="G103" s="235">
        <f t="shared" ref="G103:O104" si="73">G101/(G$6*1000)</f>
        <v>10000</v>
      </c>
      <c r="H103" s="235">
        <f>H101/(H$6*1000)*(1+C17)</f>
        <v>15625</v>
      </c>
      <c r="I103" s="74">
        <f t="shared" si="73"/>
        <v>9000</v>
      </c>
      <c r="J103" s="186"/>
      <c r="K103" s="74">
        <f t="shared" si="73"/>
        <v>3333.3333333333335</v>
      </c>
      <c r="L103" s="90">
        <f t="shared" si="73"/>
        <v>4000</v>
      </c>
      <c r="M103" s="74">
        <f t="shared" si="73"/>
        <v>4000</v>
      </c>
      <c r="N103" s="74">
        <f t="shared" si="73"/>
        <v>3700</v>
      </c>
      <c r="O103" s="89">
        <f t="shared" si="73"/>
        <v>3500</v>
      </c>
    </row>
    <row r="104" spans="5:25" x14ac:dyDescent="0.25">
      <c r="E104" s="30" t="s">
        <v>25</v>
      </c>
      <c r="F104" s="1" t="s">
        <v>29</v>
      </c>
      <c r="G104" s="235">
        <f t="shared" si="73"/>
        <v>3300</v>
      </c>
      <c r="H104" s="235">
        <f>H102/(H$6*1000)*(1+C17)</f>
        <v>5156.25</v>
      </c>
      <c r="I104" s="74">
        <f t="shared" si="73"/>
        <v>3300.0000000000005</v>
      </c>
      <c r="J104" s="186"/>
      <c r="K104" s="74">
        <f t="shared" si="73"/>
        <v>3300</v>
      </c>
      <c r="L104" s="90">
        <f t="shared" si="73"/>
        <v>3300</v>
      </c>
      <c r="M104" s="74">
        <f t="shared" si="73"/>
        <v>2160</v>
      </c>
      <c r="N104" s="74">
        <f t="shared" si="73"/>
        <v>2013</v>
      </c>
      <c r="O104" s="89">
        <f t="shared" si="73"/>
        <v>1870</v>
      </c>
    </row>
    <row r="105" spans="5:25" x14ac:dyDescent="0.25">
      <c r="E105" s="30" t="s">
        <v>92</v>
      </c>
      <c r="F105" s="1"/>
      <c r="G105" s="235">
        <v>5600</v>
      </c>
      <c r="H105" s="235">
        <f>5600*(1+C17)</f>
        <v>7000</v>
      </c>
      <c r="I105" s="74">
        <v>8000</v>
      </c>
      <c r="J105" s="186"/>
      <c r="K105" s="74">
        <f>U19</f>
        <v>7645.5026455026446</v>
      </c>
      <c r="L105" s="74">
        <f>$U$19</f>
        <v>7645.5026455026446</v>
      </c>
      <c r="M105" s="74">
        <f>V19</f>
        <v>7487.6847290640389</v>
      </c>
      <c r="N105" s="74">
        <f>W19</f>
        <v>7738.0952380952367</v>
      </c>
      <c r="O105" s="89">
        <f>X19</f>
        <v>7428.5714285714284</v>
      </c>
      <c r="P105" t="s">
        <v>73</v>
      </c>
    </row>
    <row r="106" spans="5:25" x14ac:dyDescent="0.25">
      <c r="E106" s="30" t="s">
        <v>61</v>
      </c>
      <c r="F106" s="1"/>
      <c r="G106" s="235">
        <v>800</v>
      </c>
      <c r="H106" s="235">
        <f>800*(1+C17)</f>
        <v>1000</v>
      </c>
      <c r="I106" s="257">
        <v>0</v>
      </c>
      <c r="J106" s="186"/>
      <c r="K106" s="74">
        <f>U21</f>
        <v>800</v>
      </c>
      <c r="L106" s="74">
        <f>$V$11</f>
        <v>800</v>
      </c>
      <c r="M106" s="74">
        <f>V21</f>
        <v>800</v>
      </c>
      <c r="N106" s="74">
        <f>W21</f>
        <v>800</v>
      </c>
      <c r="O106" s="89">
        <f>X21</f>
        <v>800</v>
      </c>
      <c r="P106" t="s">
        <v>73</v>
      </c>
    </row>
    <row r="107" spans="5:25" x14ac:dyDescent="0.25">
      <c r="E107" s="30" t="s">
        <v>62</v>
      </c>
      <c r="F107" s="1"/>
      <c r="G107" s="235">
        <f t="shared" ref="G107:I107" si="74">$U$13</f>
        <v>1351.1326530612246</v>
      </c>
      <c r="H107" s="235">
        <f>$U$13*(1+C17)</f>
        <v>1688.9158163265306</v>
      </c>
      <c r="I107" s="74">
        <f t="shared" si="74"/>
        <v>1351.1326530612246</v>
      </c>
      <c r="J107" s="186"/>
      <c r="K107" s="74">
        <f>U23</f>
        <v>1351.1326530612246</v>
      </c>
      <c r="L107" s="74">
        <f>(K107+M107)/2</f>
        <v>1296.5369897959185</v>
      </c>
      <c r="M107" s="74">
        <f>V23</f>
        <v>1241.9413265306123</v>
      </c>
      <c r="N107" s="74">
        <f>W23</f>
        <v>911.375</v>
      </c>
      <c r="O107" s="89">
        <f>X23</f>
        <v>690</v>
      </c>
      <c r="P107" t="s">
        <v>73</v>
      </c>
    </row>
    <row r="108" spans="5:25" x14ac:dyDescent="0.25">
      <c r="E108" s="3" t="s">
        <v>6</v>
      </c>
      <c r="F108" s="19" t="s">
        <v>29</v>
      </c>
      <c r="G108" s="236">
        <f>SUM(G103:G104)*(((1+($C$8))*((1+$C$8)^($C$5)-1))/($C$8*$C$5))-SUM(G103:G104)</f>
        <v>592.64575878241703</v>
      </c>
      <c r="H108" s="236">
        <f>SUM(H103:H104)*(((1+($C$8))*((1+$C$8)^($C$5)-1))/($C$8*$C$5))-SUM(H103:H104)</f>
        <v>926.00899809752809</v>
      </c>
      <c r="I108" s="35">
        <f>SUM(I103:I104)*(((1+($C$8))*((1+$C$8)^($C$5)-1))/($C$8*$C$5))-SUM(I103:I104)</f>
        <v>548.08592729501834</v>
      </c>
      <c r="J108" s="187"/>
      <c r="K108" s="35">
        <f>SUM(K103:K104)*(((1+($C$8))*((1+$C$8)^($C$5)-1))/($C$8*$C$5))-SUM(K103:K104)</f>
        <v>295.58021553308572</v>
      </c>
      <c r="L108" s="35">
        <f>SUM(L103:L104)*(((1+($C$8))*((1+$C$8)^($C$5)-1))/($C$8*$C$5))-SUM(L103:L104)</f>
        <v>325.28676985801849</v>
      </c>
      <c r="M108" s="35">
        <f>SUM(M103:M104)*(((1+($C$8))*((1+$C$8)^($C$5)-1))/($C$8*$C$5))-SUM(M103:M104)</f>
        <v>274.48856196238285</v>
      </c>
      <c r="N108" s="35">
        <f>SUM(N103:N104)*(((1+($C$8))*((1+$C$8)^($C$5)-1))/($C$8*$C$5))-SUM(N103:N104)</f>
        <v>254.57031728751554</v>
      </c>
      <c r="O108" s="36">
        <f>SUM(O103:O104)*(((1+($C$8))*((1+$C$8)^($C$5)-1))/($C$8*$C$5))-SUM(O103:O104)</f>
        <v>239.28629508733684</v>
      </c>
    </row>
    <row r="109" spans="5:25" x14ac:dyDescent="0.25">
      <c r="E109" s="28" t="s">
        <v>7</v>
      </c>
      <c r="F109" s="2" t="s">
        <v>30</v>
      </c>
      <c r="G109" s="237">
        <f t="shared" ref="G109:O109" si="75">SUM(G103:G108)</f>
        <v>21643.778411843639</v>
      </c>
      <c r="H109" s="237">
        <f t="shared" ref="H109" si="76">SUM(H103:H108)</f>
        <v>31396.174814424059</v>
      </c>
      <c r="I109" s="37">
        <f t="shared" si="75"/>
        <v>22199.218580356242</v>
      </c>
      <c r="J109" s="188"/>
      <c r="K109" s="37">
        <f t="shared" si="75"/>
        <v>16725.548847430287</v>
      </c>
      <c r="L109" s="37">
        <f t="shared" si="75"/>
        <v>17367.326405156582</v>
      </c>
      <c r="M109" s="37">
        <f t="shared" si="75"/>
        <v>15964.114617557036</v>
      </c>
      <c r="N109" s="37">
        <f t="shared" si="75"/>
        <v>15417.040555382751</v>
      </c>
      <c r="O109" s="38">
        <f t="shared" si="75"/>
        <v>14527.857723658764</v>
      </c>
    </row>
    <row r="110" spans="5:25" x14ac:dyDescent="0.25">
      <c r="E110" s="28" t="s">
        <v>0</v>
      </c>
      <c r="F110" s="2" t="s">
        <v>31</v>
      </c>
      <c r="G110" s="238">
        <v>70</v>
      </c>
      <c r="H110" s="238">
        <f>70*(1+C17)</f>
        <v>87.5</v>
      </c>
      <c r="I110" s="62">
        <v>70</v>
      </c>
      <c r="J110" s="189"/>
      <c r="K110" s="62">
        <v>70</v>
      </c>
      <c r="L110" s="33">
        <f>(K110+M110)/2</f>
        <v>54</v>
      </c>
      <c r="M110" s="33">
        <v>38</v>
      </c>
      <c r="N110" s="33">
        <v>38</v>
      </c>
      <c r="O110" s="34">
        <v>24</v>
      </c>
      <c r="P110" t="s">
        <v>109</v>
      </c>
    </row>
    <row r="111" spans="5:25" x14ac:dyDescent="0.25">
      <c r="E111" s="30" t="s">
        <v>83</v>
      </c>
      <c r="F111" s="1" t="s">
        <v>34</v>
      </c>
      <c r="G111" s="239">
        <f t="shared" ref="G111:O113" si="77">1/G94</f>
        <v>0.4</v>
      </c>
      <c r="H111" s="239">
        <f t="shared" ref="H111" si="78">1/H94</f>
        <v>0.4</v>
      </c>
      <c r="I111" s="39">
        <f t="shared" si="77"/>
        <v>0.2857142857142857</v>
      </c>
      <c r="J111" s="190"/>
      <c r="K111" s="39">
        <f t="shared" si="77"/>
        <v>0.4</v>
      </c>
      <c r="L111" s="39">
        <f t="shared" si="77"/>
        <v>0.38461538461538458</v>
      </c>
      <c r="M111" s="39">
        <f t="shared" si="77"/>
        <v>0.35714285714285715</v>
      </c>
      <c r="N111" s="39">
        <f t="shared" si="77"/>
        <v>0.35714285714285715</v>
      </c>
      <c r="O111" s="40">
        <f t="shared" si="77"/>
        <v>0.35714285714285715</v>
      </c>
    </row>
    <row r="112" spans="5:25" x14ac:dyDescent="0.25">
      <c r="E112" s="30" t="s">
        <v>84</v>
      </c>
      <c r="F112" s="1"/>
      <c r="G112" s="240">
        <f t="shared" si="77"/>
        <v>0.1</v>
      </c>
      <c r="H112" s="240">
        <f t="shared" ref="H112" si="79">1/H95</f>
        <v>0.1</v>
      </c>
      <c r="I112" s="153">
        <f t="shared" si="77"/>
        <v>0.1</v>
      </c>
      <c r="J112" s="191"/>
      <c r="K112" s="153">
        <f t="shared" si="77"/>
        <v>0.1</v>
      </c>
      <c r="L112" s="153">
        <f t="shared" si="77"/>
        <v>0.1</v>
      </c>
      <c r="M112" s="153">
        <f t="shared" si="77"/>
        <v>0.1</v>
      </c>
      <c r="N112" s="153">
        <f t="shared" si="77"/>
        <v>0.1</v>
      </c>
      <c r="O112" s="168">
        <f t="shared" si="77"/>
        <v>0.1</v>
      </c>
    </row>
    <row r="113" spans="5:16" x14ac:dyDescent="0.25">
      <c r="E113" s="30" t="s">
        <v>85</v>
      </c>
      <c r="F113" s="1"/>
      <c r="G113" s="240">
        <f t="shared" si="77"/>
        <v>1.0204081632653061</v>
      </c>
      <c r="H113" s="240">
        <f t="shared" ref="H113" si="80">1/H96</f>
        <v>1.0204081632653061</v>
      </c>
      <c r="I113" s="153">
        <f t="shared" si="77"/>
        <v>1.0204081632653061</v>
      </c>
      <c r="J113" s="191"/>
      <c r="K113" s="153">
        <f t="shared" si="77"/>
        <v>1.0204081632653061</v>
      </c>
      <c r="L113" s="153">
        <f t="shared" si="77"/>
        <v>1.0204081632653061</v>
      </c>
      <c r="M113" s="153">
        <f t="shared" si="77"/>
        <v>1.0204081632653061</v>
      </c>
      <c r="N113" s="153">
        <f t="shared" si="77"/>
        <v>1.0204081632653061</v>
      </c>
      <c r="O113" s="168">
        <f t="shared" si="77"/>
        <v>1.0204081632653061</v>
      </c>
    </row>
    <row r="114" spans="5:16" x14ac:dyDescent="0.25">
      <c r="E114" s="30" t="s">
        <v>26</v>
      </c>
      <c r="F114" s="1" t="s">
        <v>32</v>
      </c>
      <c r="G114" s="241">
        <f>$C$11</f>
        <v>23</v>
      </c>
      <c r="H114" s="241">
        <f>$C$11*(1+C17)</f>
        <v>28.75</v>
      </c>
      <c r="I114" s="79">
        <f>$C$11</f>
        <v>23</v>
      </c>
      <c r="J114" s="192"/>
      <c r="K114" s="79">
        <f>$C$11</f>
        <v>23</v>
      </c>
      <c r="L114" s="79">
        <f>$C$11</f>
        <v>23</v>
      </c>
      <c r="M114" s="79">
        <f>$C$11</f>
        <v>23</v>
      </c>
      <c r="N114" s="79">
        <f>$C$11</f>
        <v>23</v>
      </c>
      <c r="O114" s="80">
        <f>$C$11</f>
        <v>23</v>
      </c>
    </row>
    <row r="115" spans="5:16" x14ac:dyDescent="0.25">
      <c r="E115" s="30" t="s">
        <v>27</v>
      </c>
      <c r="F115" s="1" t="s">
        <v>32</v>
      </c>
      <c r="G115" s="241">
        <f>$C$12</f>
        <v>27.3</v>
      </c>
      <c r="H115" s="241">
        <f>$C$12*(1+C17)</f>
        <v>34.125</v>
      </c>
      <c r="I115" s="79">
        <f>$C$12</f>
        <v>27.3</v>
      </c>
      <c r="J115" s="206"/>
      <c r="K115" s="81">
        <f>$C$12</f>
        <v>27.3</v>
      </c>
      <c r="L115" s="81">
        <f>$C$12</f>
        <v>27.3</v>
      </c>
      <c r="M115" s="79">
        <f>$C$13</f>
        <v>21.8</v>
      </c>
      <c r="N115" s="79">
        <f>$C$13</f>
        <v>21.8</v>
      </c>
      <c r="O115" s="80">
        <f>$C$13</f>
        <v>21.8</v>
      </c>
    </row>
    <row r="116" spans="5:16" x14ac:dyDescent="0.25">
      <c r="E116" s="30" t="s">
        <v>28</v>
      </c>
      <c r="F116" s="1" t="s">
        <v>32</v>
      </c>
      <c r="G116" s="241">
        <f>$C$14</f>
        <v>16.32</v>
      </c>
      <c r="H116" s="241">
        <f>$C$14*(1+C17)</f>
        <v>20.399999999999999</v>
      </c>
      <c r="I116" s="79">
        <f>$C$14</f>
        <v>16.32</v>
      </c>
      <c r="J116" s="206"/>
      <c r="K116" s="81">
        <f>$C$14</f>
        <v>16.32</v>
      </c>
      <c r="L116" s="81">
        <f>$C$14</f>
        <v>16.32</v>
      </c>
      <c r="M116" s="79">
        <f>$C$15</f>
        <v>0.48</v>
      </c>
      <c r="N116" s="79">
        <f>$C$15</f>
        <v>0.48</v>
      </c>
      <c r="O116" s="80">
        <f>$C$15</f>
        <v>0.48</v>
      </c>
    </row>
    <row r="117" spans="5:16" x14ac:dyDescent="0.25">
      <c r="E117" s="29" t="s">
        <v>89</v>
      </c>
      <c r="F117" s="1" t="s">
        <v>32</v>
      </c>
      <c r="G117" s="242">
        <f t="shared" ref="G117:I117" si="81">(G115+G114+G116)</f>
        <v>66.62</v>
      </c>
      <c r="H117" s="242">
        <f t="shared" ref="H117" si="82">(H115+H114+H116)</f>
        <v>83.275000000000006</v>
      </c>
      <c r="I117" s="66">
        <f t="shared" si="81"/>
        <v>66.62</v>
      </c>
      <c r="J117" s="193"/>
      <c r="K117" s="66">
        <f t="shared" ref="K117:O117" si="83">(K115+K114+K116)</f>
        <v>66.62</v>
      </c>
      <c r="L117" s="66">
        <f t="shared" si="83"/>
        <v>66.62</v>
      </c>
      <c r="M117" s="66">
        <f t="shared" si="83"/>
        <v>45.279999999999994</v>
      </c>
      <c r="N117" s="66">
        <f t="shared" si="83"/>
        <v>45.279999999999994</v>
      </c>
      <c r="O117" s="67">
        <f t="shared" si="83"/>
        <v>45.279999999999994</v>
      </c>
    </row>
    <row r="118" spans="5:16" ht="15.75" thickBot="1" x14ac:dyDescent="0.3">
      <c r="E118" s="41" t="s">
        <v>8</v>
      </c>
      <c r="F118" s="42" t="s">
        <v>33</v>
      </c>
      <c r="G118" s="243">
        <v>1.5</v>
      </c>
      <c r="H118" s="243">
        <f>1.5*(1+C17)</f>
        <v>1.875</v>
      </c>
      <c r="I118" s="157">
        <v>1.5</v>
      </c>
      <c r="J118" s="194"/>
      <c r="K118" s="157">
        <v>1.5</v>
      </c>
      <c r="L118" s="177">
        <f>(K118+M118)/2</f>
        <v>1.35</v>
      </c>
      <c r="M118" s="156">
        <v>1.2</v>
      </c>
      <c r="N118" s="156">
        <v>1.2</v>
      </c>
      <c r="O118" s="176">
        <v>1</v>
      </c>
      <c r="P118" t="s">
        <v>109</v>
      </c>
    </row>
    <row r="119" spans="5:16" x14ac:dyDescent="0.25">
      <c r="E119" s="43" t="s">
        <v>14</v>
      </c>
      <c r="F119" s="44" t="s">
        <v>33</v>
      </c>
      <c r="G119" s="244">
        <f>(G124+G125+G126+G127+G128)/G131</f>
        <v>73.137537736664498</v>
      </c>
      <c r="H119" s="244">
        <f>(H124+H125+H126+H127+H128)/H131</f>
        <v>100.50730487080777</v>
      </c>
      <c r="I119" s="45">
        <f t="shared" ref="I119:O119" si="84">(I124+I125+I126+I127+I128)/I131</f>
        <v>82.977833238525207</v>
      </c>
      <c r="J119" s="195"/>
      <c r="K119" s="45">
        <f t="shared" si="84"/>
        <v>62.845128685168589</v>
      </c>
      <c r="L119" s="45">
        <f t="shared" si="84"/>
        <v>57.188195534483796</v>
      </c>
      <c r="M119" s="45">
        <f t="shared" si="84"/>
        <v>45.432809567533681</v>
      </c>
      <c r="N119" s="45">
        <f t="shared" si="84"/>
        <v>44.471122772983335</v>
      </c>
      <c r="O119" s="45">
        <f t="shared" si="84"/>
        <v>42.464473505430391</v>
      </c>
    </row>
    <row r="120" spans="5:16" x14ac:dyDescent="0.25">
      <c r="E120" s="46" t="s">
        <v>44</v>
      </c>
      <c r="F120" s="47"/>
      <c r="G120" s="245">
        <v>0.8</v>
      </c>
      <c r="H120" s="245">
        <v>0.8</v>
      </c>
      <c r="I120" s="178">
        <v>0.8</v>
      </c>
      <c r="J120" s="196"/>
      <c r="K120" s="178">
        <v>0.8</v>
      </c>
      <c r="L120" s="178">
        <v>0.8</v>
      </c>
      <c r="M120" s="178">
        <v>0.8</v>
      </c>
      <c r="N120" s="178">
        <v>0.8</v>
      </c>
      <c r="O120" s="178">
        <v>0.8</v>
      </c>
    </row>
    <row r="121" spans="5:16" ht="15.75" thickBot="1" x14ac:dyDescent="0.3">
      <c r="E121" s="48" t="s">
        <v>15</v>
      </c>
      <c r="F121" s="49" t="s">
        <v>33</v>
      </c>
      <c r="G121" s="246">
        <f t="shared" ref="G121:O121" si="85">G119*G120</f>
        <v>58.510030189331601</v>
      </c>
      <c r="H121" s="246">
        <f t="shared" ref="H121" si="86">H119*H120</f>
        <v>80.405843896646218</v>
      </c>
      <c r="I121" s="5">
        <f t="shared" si="85"/>
        <v>66.382266590820166</v>
      </c>
      <c r="J121" s="197"/>
      <c r="K121" s="5">
        <f t="shared" si="85"/>
        <v>50.276102948134877</v>
      </c>
      <c r="L121" s="5">
        <f t="shared" si="85"/>
        <v>45.750556427587043</v>
      </c>
      <c r="M121" s="5">
        <f t="shared" si="85"/>
        <v>36.346247654026946</v>
      </c>
      <c r="N121" s="5">
        <f t="shared" si="85"/>
        <v>35.576898218386667</v>
      </c>
      <c r="O121" s="18">
        <f t="shared" si="85"/>
        <v>33.971578804344311</v>
      </c>
    </row>
    <row r="122" spans="5:16" x14ac:dyDescent="0.25">
      <c r="G122" s="247"/>
      <c r="H122" s="247"/>
      <c r="I122" s="7"/>
      <c r="J122" s="198"/>
      <c r="K122" s="7"/>
      <c r="L122" s="7"/>
      <c r="M122" s="7"/>
      <c r="N122" s="7"/>
      <c r="O122" s="7"/>
    </row>
    <row r="123" spans="5:16" x14ac:dyDescent="0.25">
      <c r="E123" s="50" t="s">
        <v>9</v>
      </c>
      <c r="F123" s="51"/>
      <c r="G123" s="248"/>
      <c r="H123" s="248"/>
      <c r="I123" s="52"/>
      <c r="J123" s="207"/>
      <c r="K123" s="53"/>
      <c r="L123" s="53"/>
      <c r="M123" s="53"/>
      <c r="N123" s="53"/>
      <c r="O123" s="53"/>
    </row>
    <row r="124" spans="5:16" x14ac:dyDescent="0.25">
      <c r="E124" s="54" t="str">
        <f>E100</f>
        <v>Investeringskostnader</v>
      </c>
      <c r="F124" s="8" t="s">
        <v>10</v>
      </c>
      <c r="G124" s="249">
        <f t="shared" ref="G124:O124" si="87">G109*100*1000*G92</f>
        <v>21643778.411843639</v>
      </c>
      <c r="H124" s="249">
        <f t="shared" ref="H124" si="88">H109*100*1000*H92</f>
        <v>31396174.814424057</v>
      </c>
      <c r="I124" s="55">
        <f t="shared" si="87"/>
        <v>77697265.031246841</v>
      </c>
      <c r="J124" s="199"/>
      <c r="K124" s="55">
        <f t="shared" si="87"/>
        <v>250883232.71145433</v>
      </c>
      <c r="L124" s="55">
        <f t="shared" si="87"/>
        <v>868366320.25782919</v>
      </c>
      <c r="M124" s="55">
        <f t="shared" si="87"/>
        <v>1596411461.7557037</v>
      </c>
      <c r="N124" s="55">
        <f t="shared" si="87"/>
        <v>7708520277.6913748</v>
      </c>
      <c r="O124" s="55">
        <f t="shared" si="87"/>
        <v>14527857723.658764</v>
      </c>
    </row>
    <row r="125" spans="5:16" x14ac:dyDescent="0.25">
      <c r="E125" s="56" t="str">
        <f>E110</f>
        <v>Faste driftskostnader</v>
      </c>
      <c r="F125" s="9" t="s">
        <v>10</v>
      </c>
      <c r="G125" s="250">
        <f>-PV($C$8,$C$7,G110*100*1000*G92)</f>
        <v>802894.48529956839</v>
      </c>
      <c r="H125" s="250">
        <f>-PV($C$8,$C$7,H110*100*1000*H92)</f>
        <v>1003618.1066244605</v>
      </c>
      <c r="I125" s="57">
        <f>-PV($C$8,$C$7,I110*100*1000*I92)</f>
        <v>2810130.6985484897</v>
      </c>
      <c r="J125" s="200"/>
      <c r="K125" s="57">
        <f>-PV($C$8,$C$7,K110*100*1000*K92)</f>
        <v>12043417.279493526</v>
      </c>
      <c r="L125" s="57">
        <f>-PV($C$8,$C$7,L110*100*1000*L92)</f>
        <v>30968787.290126208</v>
      </c>
      <c r="M125" s="57">
        <f>-PV($C$8,$C$7,M110*100*1000*M92)</f>
        <v>43585700.630547993</v>
      </c>
      <c r="N125" s="57">
        <f>-PV($C$8,$C$7,N110*100*1000*N92)</f>
        <v>217928503.15274</v>
      </c>
      <c r="O125" s="57">
        <f>-PV($C$8,$C$7,O110*100*1000*O92)</f>
        <v>275278109.24556631</v>
      </c>
    </row>
    <row r="126" spans="5:16" x14ac:dyDescent="0.25">
      <c r="E126" s="56" t="str">
        <f>E118</f>
        <v>Variable kostnader eks brensel</v>
      </c>
      <c r="F126" s="9" t="s">
        <v>10</v>
      </c>
      <c r="G126" s="250">
        <f>-PV($C$8,$C$7,G118*1000*G92*G97)</f>
        <v>550556.2184911326</v>
      </c>
      <c r="H126" s="250">
        <f>-PV($C$8,$C$7,H118*1000*H92*H97)</f>
        <v>688195.27311391581</v>
      </c>
      <c r="I126" s="57">
        <f>-PV($C$8,$C$7,I118*1000*I92*I97)</f>
        <v>1926946.7647189645</v>
      </c>
      <c r="J126" s="200"/>
      <c r="K126" s="57">
        <f>-PV($C$8,$C$7,K118*1000*K92*K97)</f>
        <v>8258343.2773669893</v>
      </c>
      <c r="L126" s="57">
        <f>-PV($C$8,$C$7,L118*1000*L92*L97)</f>
        <v>30968787.290126208</v>
      </c>
      <c r="M126" s="57">
        <f>-PV($C$8,$C$7,M118*1000*M92*M97)</f>
        <v>55055621.849113256</v>
      </c>
      <c r="N126" s="57">
        <f>-PV($C$8,$C$7,N118*1000*N92*N97)</f>
        <v>275278109.24556631</v>
      </c>
      <c r="O126" s="57">
        <f>-PV($C$8,$C$7,O118*1000*O92*O97)</f>
        <v>458796848.74261057</v>
      </c>
    </row>
    <row r="127" spans="5:16" x14ac:dyDescent="0.25">
      <c r="E127" s="56" t="s">
        <v>87</v>
      </c>
      <c r="F127" s="9" t="s">
        <v>10</v>
      </c>
      <c r="G127" s="250">
        <f>-PV($C$8,$C$7,G117*G111*G92*G97*1000)-PV($C$8,$C$7,G117*G113*G93*G99*1000)</f>
        <v>11340255.865909606</v>
      </c>
      <c r="H127" s="250">
        <f>-PV($C$8,$C$7,H117*H111*H92*H97*1000)-PV($C$8,$C$7,H117*H113*H93*H99*1000)</f>
        <v>14175319.83238701</v>
      </c>
      <c r="I127" s="57">
        <f>-PV($C$8,$C$7,I117*I111*I92*I97*1000)-PV($C$8,$C$7,I117*I113*I93*I99*1000)</f>
        <v>29910080.790449161</v>
      </c>
      <c r="J127" s="200"/>
      <c r="K127" s="57">
        <f>-PV($C$8,$C$7,K117*K111*K92*K97*1000)-PV($C$8,$C$7,K117*K113*K93*K99*1000)</f>
        <v>170103837.98864409</v>
      </c>
      <c r="L127" s="57">
        <f>-PV($C$8,$C$7,L117*L111*L92*L97*1000)-PV($C$8,$C$7,L117*L113*L93*L99*1000)</f>
        <v>665761403.65361679</v>
      </c>
      <c r="M127" s="57">
        <f>-PV($C$8,$C$7,M117*M111*M92*M97*1000)-PV($C$8,$C$7,M117*M113*M93*M99*1000)</f>
        <v>847931482.08430207</v>
      </c>
      <c r="N127" s="57">
        <f>-PV($C$8,$C$7,N117*N111*N92*N97*1000)-PV($C$8,$C$7,N117*N113*N93*N99*1000)</f>
        <v>4239657410.4215107</v>
      </c>
      <c r="O127" s="57">
        <f>-PV($C$8,$C$7,O117*O111*O92*O97*1000)-PV($C$8,$C$7,O117*O113*O93*O99*1000)</f>
        <v>8479314820.8430214</v>
      </c>
    </row>
    <row r="128" spans="5:16" x14ac:dyDescent="0.25">
      <c r="E128" s="56" t="s">
        <v>88</v>
      </c>
      <c r="F128" s="9"/>
      <c r="G128" s="250">
        <f>-PV($C$8,$C$7,G117*G112*G92*G98*1000)</f>
        <v>611300.92126465426</v>
      </c>
      <c r="H128" s="250">
        <f>-PV($C$8,$C$7,H117*H112*H92*H98*1000)</f>
        <v>764126.15158081788</v>
      </c>
      <c r="I128" s="57">
        <f>-PV($C$8,$C$7,I117*I112*I92*I98*1000)</f>
        <v>0</v>
      </c>
      <c r="J128" s="200"/>
      <c r="K128" s="57">
        <f>-PV($C$8,$C$7,K117*K112*K92*K98*1000)</f>
        <v>9169513.8189698141</v>
      </c>
      <c r="L128" s="57">
        <f>-PV($C$8,$C$7,L117*L112*L92*L98*1000)</f>
        <v>30565046.063232712</v>
      </c>
      <c r="M128" s="57">
        <f>-PV($C$8,$C$7,M117*M112*M92*M98*1000)</f>
        <v>41548642.622130804</v>
      </c>
      <c r="N128" s="57">
        <f>-PV($C$8,$C$7,N117*N112*N92*N98*1000)</f>
        <v>207743213.110654</v>
      </c>
      <c r="O128" s="57">
        <f>-PV($C$8,$C$7,O117*O112*O92*O98*1000)</f>
        <v>415486426.22130799</v>
      </c>
    </row>
    <row r="129" spans="5:15" x14ac:dyDescent="0.25">
      <c r="E129" s="96" t="s">
        <v>59</v>
      </c>
      <c r="F129" s="97" t="s">
        <v>11</v>
      </c>
      <c r="G129" s="250">
        <f>-PV($C$8+$C$10,$C$7,G92*G97*1000)-PV($C$8+$C$10,$C$7,G93*G99*1000)</f>
        <v>386831.1017543411</v>
      </c>
      <c r="H129" s="250">
        <f>-PV($C$8+$C$10,$C$7,H92*H97*1000)-PV($C$8+$C$10,$C$7,H93*H99*1000)</f>
        <v>386831.1017543411</v>
      </c>
      <c r="I129" s="58">
        <f>-PV($C$8+$C$10,$C$7,I92*I97*1000)-PV($C$8+$C$10,$C$7,I93*I99*1000)</f>
        <v>1353908.8561401942</v>
      </c>
      <c r="J129" s="200"/>
      <c r="K129" s="58">
        <f>-PV($C$8+$C$10,$C$7,K92*K97*1000)-PV($C$8+$C$10,$C$7,K93*K99*1000)</f>
        <v>5802466.5263151154</v>
      </c>
      <c r="L129" s="58">
        <f>-PV($C$8+$C$10,$C$7,L92*L97*1000)-PV($C$8+$C$10,$C$7,L93*L99*1000)</f>
        <v>23892509.226003423</v>
      </c>
      <c r="M129" s="58">
        <f>-PV($C$8+$C$10,$C$7,M92*M97*1000)-PV($C$8+$C$10,$C$7,M93*M99*1000)</f>
        <v>47785018.452006847</v>
      </c>
      <c r="N129" s="58">
        <f>-PV($C$8+$C$10,$C$7,N92*N97*1000)-PV($C$8+$C$10,$C$7,N93*N99*1000)</f>
        <v>238925092.2600342</v>
      </c>
      <c r="O129" s="58">
        <f>-PV($C$8+$C$10,$C$7,O92*O97*1000)-PV($C$8+$C$10,$C$7,O93*O99*1000)</f>
        <v>477850184.52006841</v>
      </c>
    </row>
    <row r="130" spans="5:15" x14ac:dyDescent="0.25">
      <c r="E130" s="96" t="s">
        <v>86</v>
      </c>
      <c r="F130" s="97"/>
      <c r="G130" s="250">
        <f>-PV($C$8+$C$10,$C$7,G92*G98*1000)</f>
        <v>91019.082765727318</v>
      </c>
      <c r="H130" s="250">
        <f>-PV($C$8+$C$10,$C$7,H92*H98*1000)</f>
        <v>91019.082765727318</v>
      </c>
      <c r="I130" s="58">
        <f>-PV($C$8+$C$10,$C$7,I92*I98*1000)</f>
        <v>0</v>
      </c>
      <c r="J130" s="200"/>
      <c r="K130" s="58">
        <f>-PV($C$8+$C$10,$C$7,K92*K98*1000)</f>
        <v>1365286.2414859096</v>
      </c>
      <c r="L130" s="58">
        <f>-PV($C$8+$C$10,$C$7,L92*L98*1000)</f>
        <v>4550954.1382863652</v>
      </c>
      <c r="M130" s="58">
        <f>-PV($C$8+$C$10,$C$7,M92*M98*1000)</f>
        <v>9101908.2765727304</v>
      </c>
      <c r="N130" s="58">
        <f>-PV($C$8+$C$10,$C$7,N92*N98*1000)</f>
        <v>45509541.382863663</v>
      </c>
      <c r="O130" s="58">
        <f>-PV($C$8+$C$10,$C$7,O92*O98*1000)</f>
        <v>91019082.765727326</v>
      </c>
    </row>
    <row r="131" spans="5:15" x14ac:dyDescent="0.25">
      <c r="E131" s="98" t="s">
        <v>60</v>
      </c>
      <c r="F131" s="4" t="s">
        <v>2</v>
      </c>
      <c r="G131" s="251">
        <f t="shared" ref="G131:H131" si="89">SUM(G129:G130)</f>
        <v>477850.1845200684</v>
      </c>
      <c r="H131" s="251">
        <f t="shared" si="89"/>
        <v>477850.1845200684</v>
      </c>
      <c r="I131" s="59">
        <f t="shared" ref="I131" si="90">SUM(I129:I130)</f>
        <v>1353908.8561401942</v>
      </c>
      <c r="J131" s="201"/>
      <c r="K131" s="59">
        <f>SUM(K129:K130)</f>
        <v>7167752.767801025</v>
      </c>
      <c r="L131" s="59">
        <f t="shared" ref="L131:O131" si="91">SUM(L129:L130)</f>
        <v>28443463.36428979</v>
      </c>
      <c r="M131" s="59">
        <f t="shared" si="91"/>
        <v>56886926.728579581</v>
      </c>
      <c r="N131" s="59">
        <f t="shared" si="91"/>
        <v>284434633.64289784</v>
      </c>
      <c r="O131" s="59">
        <f t="shared" si="91"/>
        <v>568869267.28579569</v>
      </c>
    </row>
  </sheetData>
  <mergeCells count="3">
    <mergeCell ref="E4:O4"/>
    <mergeCell ref="E47:O47"/>
    <mergeCell ref="E90:O9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1"/>
  <sheetViews>
    <sheetView topLeftCell="A89" zoomScale="85" zoomScaleNormal="85" workbookViewId="0">
      <selection activeCell="J102" sqref="J102"/>
    </sheetView>
  </sheetViews>
  <sheetFormatPr baseColWidth="10" defaultRowHeight="15" x14ac:dyDescent="0.25"/>
  <cols>
    <col min="1" max="1" width="24.85546875" customWidth="1"/>
    <col min="2" max="2" width="10.140625" bestFit="1" customWidth="1"/>
    <col min="3" max="3" width="5.85546875" bestFit="1" customWidth="1"/>
    <col min="4" max="4" width="4.28515625" customWidth="1"/>
    <col min="5" max="5" width="30.7109375" customWidth="1"/>
    <col min="7" max="7" width="14.85546875" customWidth="1"/>
    <col min="8" max="8" width="17.85546875" customWidth="1"/>
    <col min="9" max="9" width="13.28515625" customWidth="1"/>
    <col min="10" max="10" width="13.42578125" customWidth="1"/>
    <col min="11" max="11" width="19.140625" customWidth="1"/>
    <col min="12" max="12" width="7" customWidth="1"/>
    <col min="13" max="14" width="7" style="99" customWidth="1"/>
  </cols>
  <sheetData>
    <row r="1" spans="1:14" x14ac:dyDescent="0.25">
      <c r="E1" t="s">
        <v>57</v>
      </c>
    </row>
    <row r="2" spans="1:14" x14ac:dyDescent="0.25">
      <c r="E2" s="252"/>
    </row>
    <row r="3" spans="1:14" ht="15.75" thickBot="1" x14ac:dyDescent="0.3">
      <c r="H3">
        <v>1</v>
      </c>
      <c r="I3">
        <v>5</v>
      </c>
      <c r="J3">
        <v>10</v>
      </c>
    </row>
    <row r="4" spans="1:14" ht="15.75" thickBot="1" x14ac:dyDescent="0.3">
      <c r="A4" s="10"/>
      <c r="B4" s="10" t="s">
        <v>21</v>
      </c>
      <c r="C4" s="11"/>
      <c r="E4" s="261" t="s">
        <v>97</v>
      </c>
      <c r="F4" s="262"/>
      <c r="G4" s="262"/>
      <c r="H4" s="262"/>
      <c r="I4" s="262"/>
      <c r="J4" s="263"/>
      <c r="K4" s="14"/>
      <c r="L4" s="14"/>
    </row>
    <row r="5" spans="1:14" x14ac:dyDescent="0.25">
      <c r="A5" s="10" t="s">
        <v>17</v>
      </c>
      <c r="B5" s="20" t="s">
        <v>16</v>
      </c>
      <c r="C5" s="20">
        <f>'[1]byggetid levetid rente'!$C$18</f>
        <v>0.5</v>
      </c>
      <c r="D5" s="13"/>
      <c r="E5" s="83"/>
      <c r="F5" s="84" t="s">
        <v>3</v>
      </c>
      <c r="G5" s="86"/>
      <c r="H5" s="85"/>
      <c r="I5" s="85"/>
      <c r="J5" s="88"/>
      <c r="K5" s="14"/>
      <c r="L5" s="14"/>
    </row>
    <row r="6" spans="1:14" ht="15.75" thickBot="1" x14ac:dyDescent="0.3">
      <c r="A6" s="10" t="s">
        <v>46</v>
      </c>
      <c r="B6" s="20" t="s">
        <v>16</v>
      </c>
      <c r="C6" s="20">
        <v>1</v>
      </c>
      <c r="D6" s="13"/>
      <c r="E6" s="23" t="s">
        <v>82</v>
      </c>
      <c r="F6" s="24" t="s">
        <v>23</v>
      </c>
      <c r="G6" s="150">
        <v>0.5</v>
      </c>
      <c r="H6" s="150">
        <v>1</v>
      </c>
      <c r="I6" s="150">
        <v>5</v>
      </c>
      <c r="J6" s="152">
        <v>10</v>
      </c>
      <c r="K6" s="17" t="s">
        <v>13</v>
      </c>
      <c r="L6" s="17" t="s">
        <v>12</v>
      </c>
      <c r="M6" s="100"/>
      <c r="N6" s="100"/>
    </row>
    <row r="7" spans="1:14" x14ac:dyDescent="0.25">
      <c r="A7" s="10" t="s">
        <v>18</v>
      </c>
      <c r="B7" s="20" t="s">
        <v>16</v>
      </c>
      <c r="C7" s="180">
        <f>'[1]byggetid levetid rente'!$C$45</f>
        <v>20</v>
      </c>
      <c r="D7" s="13"/>
      <c r="E7" s="169" t="s">
        <v>76</v>
      </c>
      <c r="F7" s="170"/>
      <c r="G7" s="140">
        <f t="shared" ref="G7:J7" si="0">G6*2</f>
        <v>1</v>
      </c>
      <c r="H7" s="140">
        <f t="shared" si="0"/>
        <v>2</v>
      </c>
      <c r="I7" s="140">
        <f t="shared" si="0"/>
        <v>10</v>
      </c>
      <c r="J7" s="140">
        <f t="shared" si="0"/>
        <v>20</v>
      </c>
      <c r="K7" s="17"/>
      <c r="L7" s="17"/>
      <c r="M7" s="100"/>
      <c r="N7" s="100"/>
    </row>
    <row r="8" spans="1:14" x14ac:dyDescent="0.25">
      <c r="A8" s="10" t="s">
        <v>50</v>
      </c>
      <c r="B8" s="20" t="s">
        <v>20</v>
      </c>
      <c r="C8" s="16">
        <f>'[1]byggetid levetid rente'!$D$43</f>
        <v>0.06</v>
      </c>
      <c r="D8" s="13"/>
      <c r="E8" s="41" t="s">
        <v>58</v>
      </c>
      <c r="F8" s="161"/>
      <c r="G8" s="140">
        <f t="shared" ref="G8:J8" si="1">G51+0.2</f>
        <v>3.4000000000000004</v>
      </c>
      <c r="H8" s="140">
        <f t="shared" si="1"/>
        <v>3.6</v>
      </c>
      <c r="I8" s="140">
        <f t="shared" si="1"/>
        <v>3.6</v>
      </c>
      <c r="J8" s="141">
        <f t="shared" si="1"/>
        <v>3.6</v>
      </c>
      <c r="K8" t="s">
        <v>99</v>
      </c>
    </row>
    <row r="9" spans="1:14" x14ac:dyDescent="0.25">
      <c r="A9" s="10" t="s">
        <v>51</v>
      </c>
      <c r="B9" s="20" t="s">
        <v>20</v>
      </c>
      <c r="C9" s="16">
        <f>'[1]byggetid levetid rente'!$D$44</f>
        <v>0.06</v>
      </c>
      <c r="D9" s="13"/>
      <c r="E9" s="29" t="s">
        <v>77</v>
      </c>
      <c r="F9" s="162"/>
      <c r="G9" s="33">
        <v>10</v>
      </c>
      <c r="H9" s="33">
        <v>10</v>
      </c>
      <c r="I9" s="33">
        <v>10</v>
      </c>
      <c r="J9" s="34">
        <v>10</v>
      </c>
      <c r="K9" t="s">
        <v>73</v>
      </c>
    </row>
    <row r="10" spans="1:14" x14ac:dyDescent="0.25">
      <c r="A10" s="10" t="s">
        <v>19</v>
      </c>
      <c r="B10" s="6" t="s">
        <v>22</v>
      </c>
      <c r="C10" s="16">
        <f>'[1]byggetid levetid rente'!$E$44</f>
        <v>1E-3</v>
      </c>
      <c r="D10" s="13"/>
      <c r="E10" s="165" t="s">
        <v>78</v>
      </c>
      <c r="F10" s="163"/>
      <c r="G10" s="148">
        <v>0.98</v>
      </c>
      <c r="H10" s="148">
        <v>0.98</v>
      </c>
      <c r="I10" s="148">
        <v>0.98</v>
      </c>
      <c r="J10" s="166">
        <v>0.98</v>
      </c>
      <c r="K10" t="s">
        <v>73</v>
      </c>
    </row>
    <row r="11" spans="1:14" x14ac:dyDescent="0.25">
      <c r="A11" s="10" t="str">
        <f>'[1]Brennverdier og priser'!$B$61</f>
        <v>Kraftpris</v>
      </c>
      <c r="B11" s="6" t="s">
        <v>1</v>
      </c>
      <c r="C11" s="15">
        <f>'[1]Brennverdier og priser'!$D$61</f>
        <v>23</v>
      </c>
      <c r="D11" s="13"/>
      <c r="E11" s="29" t="s">
        <v>79</v>
      </c>
      <c r="F11" s="75" t="s">
        <v>4</v>
      </c>
      <c r="G11" s="142">
        <v>4000</v>
      </c>
      <c r="H11" s="142">
        <v>4000</v>
      </c>
      <c r="I11" s="142">
        <v>4000</v>
      </c>
      <c r="J11" s="145">
        <v>4000</v>
      </c>
      <c r="K11" t="s">
        <v>73</v>
      </c>
    </row>
    <row r="12" spans="1:14" x14ac:dyDescent="0.25">
      <c r="A12" s="21" t="str">
        <f>'[1]Brennverdier og priser'!$B$62</f>
        <v>Nettleie husholdninger</v>
      </c>
      <c r="B12" s="6" t="s">
        <v>1</v>
      </c>
      <c r="C12" s="15">
        <f>'[1]Brennverdier og priser'!$D$62</f>
        <v>27.3</v>
      </c>
      <c r="D12" s="13"/>
      <c r="E12" s="29" t="s">
        <v>80</v>
      </c>
      <c r="F12" s="162"/>
      <c r="G12" s="144">
        <v>800</v>
      </c>
      <c r="H12" s="144">
        <v>800</v>
      </c>
      <c r="I12" s="144">
        <v>800</v>
      </c>
      <c r="J12" s="154">
        <v>800</v>
      </c>
      <c r="K12" t="s">
        <v>73</v>
      </c>
    </row>
    <row r="13" spans="1:14" x14ac:dyDescent="0.25">
      <c r="A13" s="21" t="str">
        <f>'[1]Brennverdier og priser'!$B$63</f>
        <v>Nettleie, anlegg over 150 kW</v>
      </c>
      <c r="B13" s="6" t="s">
        <v>1</v>
      </c>
      <c r="C13" s="15">
        <f>'[1]Brennverdier og priser'!$D$63</f>
        <v>21.8</v>
      </c>
      <c r="D13" s="6"/>
      <c r="E13" s="165" t="s">
        <v>81</v>
      </c>
      <c r="F13" s="163"/>
      <c r="G13" s="146">
        <v>200</v>
      </c>
      <c r="H13" s="146">
        <v>200</v>
      </c>
      <c r="I13" s="146">
        <v>200</v>
      </c>
      <c r="J13" s="167">
        <v>200</v>
      </c>
      <c r="K13" t="s">
        <v>101</v>
      </c>
    </row>
    <row r="14" spans="1:14" x14ac:dyDescent="0.25">
      <c r="A14" s="21" t="s">
        <v>37</v>
      </c>
      <c r="B14" s="6" t="s">
        <v>1</v>
      </c>
      <c r="C14" s="15">
        <f>'[1]CO2-avgift, grunnavgift'!$L$8</f>
        <v>16.32</v>
      </c>
      <c r="D14" s="6"/>
      <c r="E14" s="29" t="s">
        <v>5</v>
      </c>
      <c r="F14" s="91"/>
      <c r="G14" s="76"/>
      <c r="H14" s="75"/>
      <c r="I14" s="75"/>
      <c r="J14" s="78"/>
    </row>
    <row r="15" spans="1:14" x14ac:dyDescent="0.25">
      <c r="A15" s="21" t="s">
        <v>38</v>
      </c>
      <c r="B15" s="6" t="s">
        <v>1</v>
      </c>
      <c r="C15" s="12">
        <f>'[1]CO2-avgift, grunnavgift'!$M$9</f>
        <v>0.48</v>
      </c>
      <c r="D15" s="6"/>
      <c r="E15" s="30" t="s">
        <v>40</v>
      </c>
      <c r="F15" s="164" t="s">
        <v>41</v>
      </c>
      <c r="G15" s="71">
        <v>850000</v>
      </c>
      <c r="H15" s="31">
        <v>1500000</v>
      </c>
      <c r="I15" s="31">
        <v>7000000</v>
      </c>
      <c r="J15" s="145">
        <v>14000000</v>
      </c>
      <c r="K15" t="s">
        <v>52</v>
      </c>
    </row>
    <row r="16" spans="1:14" x14ac:dyDescent="0.25">
      <c r="A16" s="10" t="s">
        <v>36</v>
      </c>
      <c r="B16" s="6" t="s">
        <v>35</v>
      </c>
      <c r="C16" s="22">
        <f>'[1]byggetid levetid rente'!$C$1</f>
        <v>1.07973174366617</v>
      </c>
      <c r="D16" s="6"/>
      <c r="E16" s="30" t="s">
        <v>42</v>
      </c>
      <c r="F16" s="164" t="s">
        <v>43</v>
      </c>
      <c r="G16" s="61">
        <f>(3300*G6*1000)</f>
        <v>1650000</v>
      </c>
      <c r="H16" s="31">
        <f>(2160*H6*1000)</f>
        <v>2160000</v>
      </c>
      <c r="I16" s="31">
        <f>(2013*I6*1000)</f>
        <v>10065000</v>
      </c>
      <c r="J16" s="32">
        <f>(1870*J6*1000)</f>
        <v>18700000</v>
      </c>
      <c r="K16" t="s">
        <v>102</v>
      </c>
    </row>
    <row r="17" spans="1:12" x14ac:dyDescent="0.25">
      <c r="D17" s="6"/>
      <c r="E17" s="30" t="s">
        <v>91</v>
      </c>
      <c r="F17" s="19" t="s">
        <v>29</v>
      </c>
      <c r="G17" s="74">
        <f t="shared" ref="G17:J18" si="2">G15/(G$6*1000)</f>
        <v>1700</v>
      </c>
      <c r="H17" s="74">
        <f t="shared" si="2"/>
        <v>1500</v>
      </c>
      <c r="I17" s="74">
        <f t="shared" si="2"/>
        <v>1400</v>
      </c>
      <c r="J17" s="89">
        <f t="shared" si="2"/>
        <v>1400</v>
      </c>
    </row>
    <row r="18" spans="1:12" x14ac:dyDescent="0.25">
      <c r="D18" s="12"/>
      <c r="E18" s="30" t="s">
        <v>25</v>
      </c>
      <c r="F18" s="1" t="s">
        <v>29</v>
      </c>
      <c r="G18" s="74">
        <f t="shared" si="2"/>
        <v>3300</v>
      </c>
      <c r="H18" s="74">
        <f t="shared" si="2"/>
        <v>2160</v>
      </c>
      <c r="I18" s="74">
        <f t="shared" si="2"/>
        <v>2013</v>
      </c>
      <c r="J18" s="89">
        <f t="shared" si="2"/>
        <v>1870</v>
      </c>
    </row>
    <row r="19" spans="1:12" x14ac:dyDescent="0.25">
      <c r="A19" s="68" t="s">
        <v>47</v>
      </c>
      <c r="D19" s="12"/>
      <c r="E19" s="30" t="s">
        <v>90</v>
      </c>
      <c r="F19" s="1"/>
      <c r="G19" s="74">
        <v>4000</v>
      </c>
      <c r="H19" s="74">
        <v>2500</v>
      </c>
      <c r="I19" s="74">
        <v>1500</v>
      </c>
      <c r="J19" s="89">
        <v>1000</v>
      </c>
      <c r="K19" t="s">
        <v>108</v>
      </c>
    </row>
    <row r="20" spans="1:12" x14ac:dyDescent="0.25">
      <c r="A20" s="69" t="s">
        <v>56</v>
      </c>
      <c r="D20" s="12"/>
      <c r="E20" s="30" t="s">
        <v>61</v>
      </c>
      <c r="F20" s="1"/>
      <c r="G20" s="74">
        <v>800</v>
      </c>
      <c r="H20" s="74">
        <v>800</v>
      </c>
      <c r="I20" s="74">
        <v>800</v>
      </c>
      <c r="J20" s="89">
        <v>800</v>
      </c>
      <c r="K20" t="s">
        <v>103</v>
      </c>
    </row>
    <row r="21" spans="1:12" x14ac:dyDescent="0.25">
      <c r="A21" s="70" t="s">
        <v>48</v>
      </c>
      <c r="D21" s="12"/>
      <c r="E21" s="30" t="s">
        <v>62</v>
      </c>
      <c r="F21" s="1"/>
      <c r="G21" s="179">
        <v>1351</v>
      </c>
      <c r="H21" s="74">
        <v>1242</v>
      </c>
      <c r="I21" s="74">
        <v>911</v>
      </c>
      <c r="J21" s="89">
        <v>690</v>
      </c>
      <c r="K21" t="s">
        <v>103</v>
      </c>
    </row>
    <row r="22" spans="1:12" x14ac:dyDescent="0.25">
      <c r="D22" s="12"/>
      <c r="E22" s="3" t="s">
        <v>6</v>
      </c>
      <c r="F22" s="19" t="s">
        <v>29</v>
      </c>
      <c r="G22" s="35">
        <f>SUM(G17:G18)*(((1+($C$8))*((1+$C$8)^($C$5)-1))/($C$8*$C$5))-SUM(G17:G18)</f>
        <v>222.79915743699894</v>
      </c>
      <c r="H22" s="35">
        <f>SUM(H17:H18)*(((1+($C$9))*((1+$C$9)^($C$6)-1))/($C$9*$C$6))-SUM(H17:H18)</f>
        <v>219.60000000000355</v>
      </c>
      <c r="I22" s="35">
        <f>SUM(I17:I18)*(((1+($C$9))*((1+$C$9)^($C$6)-1))/($C$9*$C$6))-SUM(I17:I18)</f>
        <v>204.78000000000338</v>
      </c>
      <c r="J22" s="36">
        <f>SUM(J17:J18)*(((1+($C$9))*((1+$C$9)^($C$6)-1))/($C$9*$C$6))-SUM(J17:J18)</f>
        <v>196.200000000003</v>
      </c>
    </row>
    <row r="23" spans="1:12" x14ac:dyDescent="0.25">
      <c r="D23" s="12"/>
      <c r="E23" s="28" t="s">
        <v>7</v>
      </c>
      <c r="F23" s="2" t="s">
        <v>30</v>
      </c>
      <c r="G23" s="37">
        <f t="shared" ref="G23:J23" si="3">SUM(G17:G22)</f>
        <v>11373.799157436999</v>
      </c>
      <c r="H23" s="37">
        <f t="shared" si="3"/>
        <v>8421.600000000004</v>
      </c>
      <c r="I23" s="37">
        <f t="shared" si="3"/>
        <v>6828.7800000000034</v>
      </c>
      <c r="J23" s="38">
        <f t="shared" si="3"/>
        <v>5956.2000000000025</v>
      </c>
    </row>
    <row r="24" spans="1:12" x14ac:dyDescent="0.25">
      <c r="E24" s="28" t="s">
        <v>0</v>
      </c>
      <c r="F24" s="2" t="s">
        <v>31</v>
      </c>
      <c r="G24" s="63">
        <v>40</v>
      </c>
      <c r="H24" s="63">
        <v>40</v>
      </c>
      <c r="I24" s="63">
        <v>30</v>
      </c>
      <c r="J24" s="65">
        <v>30</v>
      </c>
      <c r="K24" t="s">
        <v>103</v>
      </c>
      <c r="L24" s="155"/>
    </row>
    <row r="25" spans="1:12" x14ac:dyDescent="0.25">
      <c r="E25" s="30" t="s">
        <v>83</v>
      </c>
      <c r="F25" s="1" t="s">
        <v>34</v>
      </c>
      <c r="G25" s="39">
        <f t="shared" ref="G25:J27" si="4">1/G8</f>
        <v>0.29411764705882348</v>
      </c>
      <c r="H25" s="39">
        <f t="shared" si="4"/>
        <v>0.27777777777777779</v>
      </c>
      <c r="I25" s="39">
        <f t="shared" si="4"/>
        <v>0.27777777777777779</v>
      </c>
      <c r="J25" s="40">
        <f t="shared" si="4"/>
        <v>0.27777777777777779</v>
      </c>
    </row>
    <row r="26" spans="1:12" x14ac:dyDescent="0.25">
      <c r="E26" s="30" t="s">
        <v>84</v>
      </c>
      <c r="F26" s="1"/>
      <c r="G26" s="153">
        <f t="shared" si="4"/>
        <v>0.1</v>
      </c>
      <c r="H26" s="153">
        <f t="shared" si="4"/>
        <v>0.1</v>
      </c>
      <c r="I26" s="153">
        <f t="shared" si="4"/>
        <v>0.1</v>
      </c>
      <c r="J26" s="168">
        <f t="shared" si="4"/>
        <v>0.1</v>
      </c>
    </row>
    <row r="27" spans="1:12" x14ac:dyDescent="0.25">
      <c r="E27" s="30" t="s">
        <v>85</v>
      </c>
      <c r="F27" s="1"/>
      <c r="G27" s="153">
        <f t="shared" si="4"/>
        <v>1.0204081632653061</v>
      </c>
      <c r="H27" s="153">
        <f t="shared" si="4"/>
        <v>1.0204081632653061</v>
      </c>
      <c r="I27" s="153">
        <f t="shared" si="4"/>
        <v>1.0204081632653061</v>
      </c>
      <c r="J27" s="168">
        <f t="shared" si="4"/>
        <v>1.0204081632653061</v>
      </c>
    </row>
    <row r="28" spans="1:12" x14ac:dyDescent="0.25">
      <c r="E28" s="30" t="s">
        <v>26</v>
      </c>
      <c r="F28" s="1" t="s">
        <v>32</v>
      </c>
      <c r="G28" s="79">
        <f>$C$11</f>
        <v>23</v>
      </c>
      <c r="H28" s="79">
        <f>$C$11</f>
        <v>23</v>
      </c>
      <c r="I28" s="79">
        <f>$C$11</f>
        <v>23</v>
      </c>
      <c r="J28" s="80">
        <f>$C$11</f>
        <v>23</v>
      </c>
    </row>
    <row r="29" spans="1:12" x14ac:dyDescent="0.25">
      <c r="E29" s="30" t="s">
        <v>27</v>
      </c>
      <c r="F29" s="1" t="s">
        <v>32</v>
      </c>
      <c r="G29" s="81">
        <f>$C$12</f>
        <v>27.3</v>
      </c>
      <c r="H29" s="81">
        <f>$C$13</f>
        <v>21.8</v>
      </c>
      <c r="I29" s="81">
        <f>$C$13</f>
        <v>21.8</v>
      </c>
      <c r="J29" s="82">
        <f>$C$13</f>
        <v>21.8</v>
      </c>
    </row>
    <row r="30" spans="1:12" x14ac:dyDescent="0.25">
      <c r="E30" s="30" t="s">
        <v>28</v>
      </c>
      <c r="F30" s="1" t="s">
        <v>32</v>
      </c>
      <c r="G30" s="81">
        <f>$C$14</f>
        <v>16.32</v>
      </c>
      <c r="H30" s="81">
        <f>$C$15</f>
        <v>0.48</v>
      </c>
      <c r="I30" s="81">
        <f>$C$15</f>
        <v>0.48</v>
      </c>
      <c r="J30" s="82">
        <f>$C$15</f>
        <v>0.48</v>
      </c>
    </row>
    <row r="31" spans="1:12" x14ac:dyDescent="0.25">
      <c r="E31" s="29" t="s">
        <v>89</v>
      </c>
      <c r="F31" s="1" t="s">
        <v>32</v>
      </c>
      <c r="G31" s="66">
        <f t="shared" ref="G31:J31" si="5">(G29+G28+G30)</f>
        <v>66.62</v>
      </c>
      <c r="H31" s="66">
        <f t="shared" si="5"/>
        <v>45.279999999999994</v>
      </c>
      <c r="I31" s="66">
        <f t="shared" si="5"/>
        <v>45.279999999999994</v>
      </c>
      <c r="J31" s="67">
        <f t="shared" si="5"/>
        <v>45.279999999999994</v>
      </c>
    </row>
    <row r="32" spans="1:12" ht="15.75" thickBot="1" x14ac:dyDescent="0.3">
      <c r="E32" s="41" t="s">
        <v>8</v>
      </c>
      <c r="F32" s="42" t="s">
        <v>33</v>
      </c>
      <c r="G32" s="156">
        <v>1.5</v>
      </c>
      <c r="H32" s="156">
        <v>1.5</v>
      </c>
      <c r="I32" s="156">
        <v>1.3</v>
      </c>
      <c r="J32" s="176">
        <v>1.2</v>
      </c>
      <c r="K32" t="s">
        <v>103</v>
      </c>
    </row>
    <row r="33" spans="5:12" x14ac:dyDescent="0.25">
      <c r="E33" s="43" t="s">
        <v>14</v>
      </c>
      <c r="F33" s="44" t="s">
        <v>33</v>
      </c>
      <c r="G33" s="45">
        <f>(G38+G39+G40+G41+G42)/G45</f>
        <v>42.663401521968865</v>
      </c>
      <c r="H33" s="45">
        <f t="shared" ref="H33:J33" si="6">(H38+H39+H40+H41+H42)/H45</f>
        <v>30.212687305659966</v>
      </c>
      <c r="I33" s="45">
        <f t="shared" si="6"/>
        <v>27.171433964964177</v>
      </c>
      <c r="J33" s="45">
        <f t="shared" si="6"/>
        <v>25.618995886189534</v>
      </c>
    </row>
    <row r="34" spans="5:12" x14ac:dyDescent="0.25">
      <c r="E34" s="46" t="s">
        <v>44</v>
      </c>
      <c r="F34" s="47"/>
      <c r="G34" s="178">
        <v>0.8</v>
      </c>
      <c r="H34" s="178">
        <v>0.8</v>
      </c>
      <c r="I34" s="178">
        <v>0.8</v>
      </c>
      <c r="J34" s="178">
        <v>0.8</v>
      </c>
    </row>
    <row r="35" spans="5:12" ht="15.75" thickBot="1" x14ac:dyDescent="0.3">
      <c r="E35" s="48" t="s">
        <v>15</v>
      </c>
      <c r="F35" s="49" t="s">
        <v>33</v>
      </c>
      <c r="G35" s="5">
        <f t="shared" ref="G35:J35" si="7">G33*G34</f>
        <v>34.130721217575093</v>
      </c>
      <c r="H35" s="5">
        <f t="shared" si="7"/>
        <v>24.170149844527973</v>
      </c>
      <c r="I35" s="5">
        <f t="shared" si="7"/>
        <v>21.737147171971344</v>
      </c>
      <c r="J35" s="18">
        <f t="shared" si="7"/>
        <v>20.495196708951628</v>
      </c>
    </row>
    <row r="36" spans="5:12" x14ac:dyDescent="0.25">
      <c r="G36" s="7"/>
      <c r="H36" s="7"/>
      <c r="I36" s="7"/>
      <c r="J36" s="7"/>
    </row>
    <row r="37" spans="5:12" x14ac:dyDescent="0.25">
      <c r="E37" s="50" t="s">
        <v>9</v>
      </c>
      <c r="F37" s="51"/>
      <c r="G37" s="53"/>
      <c r="H37" s="53"/>
      <c r="I37" s="53"/>
      <c r="J37" s="53"/>
    </row>
    <row r="38" spans="5:12" x14ac:dyDescent="0.25">
      <c r="E38" s="54" t="str">
        <f>E14</f>
        <v>Investeringskostnader</v>
      </c>
      <c r="F38" s="8" t="s">
        <v>10</v>
      </c>
      <c r="G38" s="55">
        <f t="shared" ref="G38:J38" si="8">G23*100*1000*G6</f>
        <v>568689957.87185001</v>
      </c>
      <c r="H38" s="55">
        <f t="shared" si="8"/>
        <v>842160000.00000036</v>
      </c>
      <c r="I38" s="55">
        <f t="shared" si="8"/>
        <v>3414390000.0000019</v>
      </c>
      <c r="J38" s="55">
        <f t="shared" si="8"/>
        <v>5956200000.0000019</v>
      </c>
    </row>
    <row r="39" spans="5:12" x14ac:dyDescent="0.25">
      <c r="E39" s="56" t="str">
        <f>E24</f>
        <v>Faste driftskostnader</v>
      </c>
      <c r="F39" s="9" t="s">
        <v>10</v>
      </c>
      <c r="G39" s="57">
        <f>-PV($C$8,$C$7,G24*100*1000*G6)</f>
        <v>22939842.437130526</v>
      </c>
      <c r="H39" s="57">
        <f>-PV($C$8,$C$7,H24*100*1000*H6)</f>
        <v>45879684.874261051</v>
      </c>
      <c r="I39" s="57">
        <f>-PV($C$8,$C$7,I24*100*1000*I6)</f>
        <v>172048818.27847895</v>
      </c>
      <c r="J39" s="57">
        <f>-PV($C$8,$C$7,J24*100*1000*J6)</f>
        <v>344097636.5569579</v>
      </c>
    </row>
    <row r="40" spans="5:12" x14ac:dyDescent="0.25">
      <c r="E40" s="56" t="str">
        <f>E32</f>
        <v>Variable kostnader eks brensel</v>
      </c>
      <c r="F40" s="9" t="s">
        <v>10</v>
      </c>
      <c r="G40" s="57">
        <f>-PV($C$8,$C$7,G32*1000*G6*G11)</f>
        <v>34409763.655695789</v>
      </c>
      <c r="H40" s="57">
        <f>-PV($C$8,$C$7,H32*1000*H6*H11)</f>
        <v>68819527.311391577</v>
      </c>
      <c r="I40" s="57">
        <f>-PV($C$8,$C$7,I32*1000*I6*I11)</f>
        <v>298217951.68269682</v>
      </c>
      <c r="J40" s="57">
        <f>-PV($C$8,$C$7,J32*1000*J6*J11)</f>
        <v>550556218.49113262</v>
      </c>
    </row>
    <row r="41" spans="5:12" x14ac:dyDescent="0.25">
      <c r="E41" s="56" t="s">
        <v>87</v>
      </c>
      <c r="F41" s="9" t="s">
        <v>10</v>
      </c>
      <c r="G41" s="57">
        <f>-PV($C$8,$C$7,G31*G25*G6*G11*1000)-PV($C$8,$C$7,G31*G27*G7*G13*1000)</f>
        <v>605430084.08564198</v>
      </c>
      <c r="H41" s="57">
        <f>-PV($C$8,$C$7,H31*H25*H6*H11*1000)-PV($C$8,$C$7,H31*H27*H7*H13*1000)</f>
        <v>789047351.3840034</v>
      </c>
      <c r="I41" s="57">
        <f>-PV($C$8,$C$7,I31*I25*I6*I11*1000)-PV($C$8,$C$7,I31*I27*I7*I13*1000)</f>
        <v>3945236756.9200168</v>
      </c>
      <c r="J41" s="57">
        <f>-PV($C$8,$C$7,J31*J25*J6*J11*1000)-PV($C$8,$C$7,J31*J27*J7*J13*1000)</f>
        <v>7890473513.8400335</v>
      </c>
    </row>
    <row r="42" spans="5:12" x14ac:dyDescent="0.25">
      <c r="E42" s="56" t="s">
        <v>88</v>
      </c>
      <c r="F42" s="9"/>
      <c r="G42" s="57">
        <f>-PV($C$8,$C$7,G31*G26*G6*G12*1000)</f>
        <v>30565046.063232712</v>
      </c>
      <c r="H42" s="57">
        <f>-PV($C$8,$C$7,H31*H26*H6*H12*1000)</f>
        <v>41548642.622130804</v>
      </c>
      <c r="I42" s="57">
        <f>-PV($C$8,$C$7,I31*I26*I6*I12*1000)</f>
        <v>207743213.110654</v>
      </c>
      <c r="J42" s="57">
        <f>-PV($C$8,$C$7,J31*J26*J6*J12*1000)</f>
        <v>415486426.22130799</v>
      </c>
    </row>
    <row r="43" spans="5:12" x14ac:dyDescent="0.25">
      <c r="E43" s="96" t="s">
        <v>59</v>
      </c>
      <c r="F43" s="97" t="s">
        <v>11</v>
      </c>
      <c r="G43" s="58">
        <f>-PV($C$8+$C$10,$C$7,G6*G11*1000)-PV($C$8+$C$10,$C$7,G7*G13*1000)</f>
        <v>25030247.760575015</v>
      </c>
      <c r="H43" s="58">
        <f>-PV($C$8+$C$10,$C$7,H6*H11*1000)-PV($C$8+$C$10,$C$7,H7*H13*1000)</f>
        <v>50060495.52115003</v>
      </c>
      <c r="I43" s="58">
        <f>-PV($C$8+$C$10,$C$7,I6*I11*1000)-PV($C$8+$C$10,$C$7,I7*I13*1000)</f>
        <v>250302477.60575011</v>
      </c>
      <c r="J43" s="58">
        <f>-PV($C$8+$C$10,$C$7,J6*J11*1000)-PV($C$8+$C$10,$C$7,J7*J13*1000)</f>
        <v>500604955.21150023</v>
      </c>
    </row>
    <row r="44" spans="5:12" x14ac:dyDescent="0.25">
      <c r="E44" s="96" t="s">
        <v>86</v>
      </c>
      <c r="F44" s="97"/>
      <c r="G44" s="58">
        <f>-PV($C$8+$C$10,$C$7,G6*G12*1000)</f>
        <v>4550954.1382863652</v>
      </c>
      <c r="H44" s="58">
        <f>-PV($C$8+$C$10,$C$7,H6*H12*1000)</f>
        <v>9101908.2765727304</v>
      </c>
      <c r="I44" s="58">
        <f>-PV($C$8+$C$10,$C$7,I6*I12*1000)</f>
        <v>45509541.382863663</v>
      </c>
      <c r="J44" s="58">
        <f>-PV($C$8+$C$10,$C$7,J6*J12*1000)</f>
        <v>91019082.765727326</v>
      </c>
    </row>
    <row r="45" spans="5:12" x14ac:dyDescent="0.25">
      <c r="E45" s="98" t="s">
        <v>60</v>
      </c>
      <c r="F45" s="4" t="s">
        <v>2</v>
      </c>
      <c r="G45" s="59">
        <f t="shared" ref="G45:J45" si="9">SUM(G43:G44)</f>
        <v>29581201.898861378</v>
      </c>
      <c r="H45" s="59">
        <f t="shared" si="9"/>
        <v>59162403.797722757</v>
      </c>
      <c r="I45" s="59">
        <f t="shared" si="9"/>
        <v>295812018.98861378</v>
      </c>
      <c r="J45" s="59">
        <f t="shared" si="9"/>
        <v>591624037.97722757</v>
      </c>
    </row>
    <row r="46" spans="5:12" ht="15.75" thickBot="1" x14ac:dyDescent="0.3"/>
    <row r="47" spans="5:12" ht="15.75" thickBot="1" x14ac:dyDescent="0.3">
      <c r="E47" s="261" t="s">
        <v>98</v>
      </c>
      <c r="F47" s="262"/>
      <c r="G47" s="262"/>
      <c r="H47" s="262"/>
      <c r="I47" s="262"/>
      <c r="J47" s="263"/>
      <c r="K47" s="14"/>
      <c r="L47" s="14"/>
    </row>
    <row r="48" spans="5:12" x14ac:dyDescent="0.25">
      <c r="E48" s="83"/>
      <c r="F48" s="84" t="s">
        <v>3</v>
      </c>
      <c r="G48" s="86"/>
      <c r="H48" s="85"/>
      <c r="I48" s="85"/>
      <c r="J48" s="88"/>
      <c r="K48" s="14"/>
      <c r="L48" s="14"/>
    </row>
    <row r="49" spans="5:14" ht="15.75" thickBot="1" x14ac:dyDescent="0.3">
      <c r="E49" s="23" t="s">
        <v>82</v>
      </c>
      <c r="F49" s="24" t="s">
        <v>23</v>
      </c>
      <c r="G49" s="150">
        <v>0.5</v>
      </c>
      <c r="H49" s="150">
        <v>1</v>
      </c>
      <c r="I49" s="150">
        <v>5</v>
      </c>
      <c r="J49" s="152">
        <v>10</v>
      </c>
      <c r="K49" s="17" t="s">
        <v>13</v>
      </c>
      <c r="L49" s="17" t="s">
        <v>12</v>
      </c>
    </row>
    <row r="50" spans="5:14" x14ac:dyDescent="0.25">
      <c r="E50" s="169" t="s">
        <v>76</v>
      </c>
      <c r="F50" s="170"/>
      <c r="G50" s="140">
        <v>1</v>
      </c>
      <c r="H50" s="140">
        <v>2</v>
      </c>
      <c r="I50" s="140">
        <v>10</v>
      </c>
      <c r="J50" s="141">
        <v>20</v>
      </c>
      <c r="K50" s="17"/>
      <c r="L50" s="17"/>
    </row>
    <row r="51" spans="5:14" x14ac:dyDescent="0.25">
      <c r="E51" s="41" t="s">
        <v>58</v>
      </c>
      <c r="F51" s="161"/>
      <c r="G51" s="140">
        <v>3.2</v>
      </c>
      <c r="H51" s="140">
        <v>3.4</v>
      </c>
      <c r="I51" s="140">
        <v>3.4</v>
      </c>
      <c r="J51" s="141">
        <v>3.4</v>
      </c>
      <c r="K51" t="s">
        <v>108</v>
      </c>
    </row>
    <row r="52" spans="5:14" x14ac:dyDescent="0.25">
      <c r="E52" s="29" t="s">
        <v>77</v>
      </c>
      <c r="F52" s="162"/>
      <c r="G52" s="33">
        <v>10</v>
      </c>
      <c r="H52" s="33">
        <v>10</v>
      </c>
      <c r="I52" s="33">
        <v>10</v>
      </c>
      <c r="J52" s="34">
        <v>10</v>
      </c>
    </row>
    <row r="53" spans="5:14" x14ac:dyDescent="0.25">
      <c r="E53" s="165" t="s">
        <v>78</v>
      </c>
      <c r="F53" s="163"/>
      <c r="G53" s="148">
        <v>0.98</v>
      </c>
      <c r="H53" s="148">
        <v>0.98</v>
      </c>
      <c r="I53" s="148">
        <v>0.98</v>
      </c>
      <c r="J53" s="166">
        <v>0.98</v>
      </c>
    </row>
    <row r="54" spans="5:14" x14ac:dyDescent="0.25">
      <c r="E54" s="29" t="s">
        <v>79</v>
      </c>
      <c r="F54" s="75" t="s">
        <v>4</v>
      </c>
      <c r="G54" s="142">
        <v>4000</v>
      </c>
      <c r="H54" s="142">
        <v>4000</v>
      </c>
      <c r="I54" s="142">
        <v>4000</v>
      </c>
      <c r="J54" s="145">
        <v>4000</v>
      </c>
      <c r="K54" t="s">
        <v>110</v>
      </c>
    </row>
    <row r="55" spans="5:14" x14ac:dyDescent="0.25">
      <c r="E55" s="29" t="s">
        <v>80</v>
      </c>
      <c r="F55" s="162"/>
      <c r="G55" s="144">
        <v>800</v>
      </c>
      <c r="H55" s="144">
        <v>800</v>
      </c>
      <c r="I55" s="144">
        <v>800</v>
      </c>
      <c r="J55" s="154">
        <v>800</v>
      </c>
    </row>
    <row r="56" spans="5:14" x14ac:dyDescent="0.25">
      <c r="E56" s="165" t="s">
        <v>81</v>
      </c>
      <c r="F56" s="163"/>
      <c r="G56" s="146">
        <v>200</v>
      </c>
      <c r="H56" s="146">
        <v>200</v>
      </c>
      <c r="I56" s="146">
        <v>200</v>
      </c>
      <c r="J56" s="167">
        <v>200</v>
      </c>
    </row>
    <row r="57" spans="5:14" x14ac:dyDescent="0.25">
      <c r="E57" s="29" t="s">
        <v>5</v>
      </c>
      <c r="F57" s="91"/>
      <c r="G57" s="92"/>
      <c r="H57" s="75"/>
      <c r="I57" s="75"/>
      <c r="J57" s="78"/>
      <c r="M57" s="100"/>
      <c r="N57" s="100"/>
    </row>
    <row r="58" spans="5:14" x14ac:dyDescent="0.25">
      <c r="E58" s="30" t="s">
        <v>40</v>
      </c>
      <c r="F58" s="164" t="s">
        <v>41</v>
      </c>
      <c r="G58" s="71">
        <v>850000</v>
      </c>
      <c r="H58" s="31">
        <v>1500000</v>
      </c>
      <c r="I58" s="31">
        <v>7000000</v>
      </c>
      <c r="J58" s="145">
        <v>14000000</v>
      </c>
      <c r="K58" t="s">
        <v>111</v>
      </c>
      <c r="L58" t="s">
        <v>112</v>
      </c>
    </row>
    <row r="59" spans="5:14" x14ac:dyDescent="0.25">
      <c r="E59" s="30" t="s">
        <v>42</v>
      </c>
      <c r="F59" s="164" t="s">
        <v>43</v>
      </c>
      <c r="G59" s="61">
        <f>(3300*G49*1000)</f>
        <v>1650000</v>
      </c>
      <c r="H59" s="31">
        <f>(2160*H49*1000)</f>
        <v>2160000</v>
      </c>
      <c r="I59" s="31">
        <f>(2013*I49*1000)</f>
        <v>10065000</v>
      </c>
      <c r="J59" s="32">
        <f>(1870*J49*1000)</f>
        <v>18700000</v>
      </c>
      <c r="K59" t="s">
        <v>102</v>
      </c>
    </row>
    <row r="60" spans="5:14" x14ac:dyDescent="0.25">
      <c r="E60" s="30" t="s">
        <v>91</v>
      </c>
      <c r="F60" s="19" t="s">
        <v>29</v>
      </c>
      <c r="G60" s="90">
        <f t="shared" ref="G60:J61" si="10">G58/(G$6*1000)</f>
        <v>1700</v>
      </c>
      <c r="H60" s="74">
        <f t="shared" si="10"/>
        <v>1500</v>
      </c>
      <c r="I60" s="74">
        <f t="shared" si="10"/>
        <v>1400</v>
      </c>
      <c r="J60" s="89">
        <f t="shared" si="10"/>
        <v>1400</v>
      </c>
    </row>
    <row r="61" spans="5:14" x14ac:dyDescent="0.25">
      <c r="E61" s="30" t="s">
        <v>25</v>
      </c>
      <c r="F61" s="1" t="s">
        <v>29</v>
      </c>
      <c r="G61" s="90">
        <f t="shared" si="10"/>
        <v>3300</v>
      </c>
      <c r="H61" s="74">
        <f t="shared" si="10"/>
        <v>2160</v>
      </c>
      <c r="I61" s="74">
        <f t="shared" si="10"/>
        <v>2013</v>
      </c>
      <c r="J61" s="89">
        <f t="shared" si="10"/>
        <v>1870</v>
      </c>
    </row>
    <row r="62" spans="5:14" x14ac:dyDescent="0.25">
      <c r="E62" s="30" t="s">
        <v>90</v>
      </c>
      <c r="F62" s="1"/>
      <c r="G62" s="74">
        <v>4000</v>
      </c>
      <c r="H62" s="74">
        <v>2500</v>
      </c>
      <c r="I62" s="74">
        <v>1500</v>
      </c>
      <c r="J62" s="89">
        <v>1000</v>
      </c>
      <c r="K62" t="s">
        <v>108</v>
      </c>
    </row>
    <row r="63" spans="5:14" x14ac:dyDescent="0.25">
      <c r="E63" s="30" t="s">
        <v>61</v>
      </c>
      <c r="F63" s="1"/>
      <c r="G63" s="74">
        <v>800</v>
      </c>
      <c r="H63" s="74">
        <v>800</v>
      </c>
      <c r="I63" s="74">
        <v>800</v>
      </c>
      <c r="J63" s="89">
        <v>800</v>
      </c>
      <c r="K63" t="s">
        <v>103</v>
      </c>
    </row>
    <row r="64" spans="5:14" x14ac:dyDescent="0.25">
      <c r="E64" s="30" t="s">
        <v>62</v>
      </c>
      <c r="F64" s="1"/>
      <c r="G64" s="179">
        <v>1351</v>
      </c>
      <c r="H64" s="74">
        <v>1242</v>
      </c>
      <c r="I64" s="74">
        <v>911</v>
      </c>
      <c r="J64" s="89">
        <v>690</v>
      </c>
      <c r="K64" t="s">
        <v>103</v>
      </c>
    </row>
    <row r="65" spans="5:14" x14ac:dyDescent="0.25">
      <c r="E65" s="3" t="s">
        <v>6</v>
      </c>
      <c r="F65" s="19" t="s">
        <v>29</v>
      </c>
      <c r="G65" s="35">
        <f>SUM(G60:G61)*(((1+($C$8))*((1+$C$8)^($C$5)-1))/($C$8*$C$5))-SUM(G60:G61)</f>
        <v>222.79915743699894</v>
      </c>
      <c r="H65" s="35">
        <f>SUM(H60:H61)*(((1+($C$8))*((1+$C$8)^($C$5)-1))/($C$8*$C$5))-SUM(H60:H61)</f>
        <v>163.08898324388338</v>
      </c>
      <c r="I65" s="35">
        <f>SUM(I60:I61)*(((1+($C$8))*((1+$C$8)^($C$5)-1))/($C$8*$C$5))-SUM(I60:I61)</f>
        <v>152.08270486649553</v>
      </c>
      <c r="J65" s="36">
        <f>SUM(J60:J61)*(((1+($C$8))*((1+$C$8)^($C$5)-1))/($C$8*$C$5))-SUM(J60:J61)</f>
        <v>145.71064896379767</v>
      </c>
    </row>
    <row r="66" spans="5:14" x14ac:dyDescent="0.25">
      <c r="E66" s="28" t="s">
        <v>7</v>
      </c>
      <c r="F66" s="2" t="s">
        <v>30</v>
      </c>
      <c r="G66" s="37">
        <f t="shared" ref="G66:J66" si="11">SUM(G60:G65)</f>
        <v>11373.799157436999</v>
      </c>
      <c r="H66" s="37">
        <f t="shared" si="11"/>
        <v>8365.0889832438843</v>
      </c>
      <c r="I66" s="37">
        <f t="shared" si="11"/>
        <v>6776.082704866496</v>
      </c>
      <c r="J66" s="38">
        <f t="shared" si="11"/>
        <v>5905.7106489637972</v>
      </c>
      <c r="L66" s="73">
        <f>14782*150</f>
        <v>2217300</v>
      </c>
    </row>
    <row r="67" spans="5:14" x14ac:dyDescent="0.25">
      <c r="E67" s="28" t="s">
        <v>0</v>
      </c>
      <c r="F67" s="2" t="s">
        <v>31</v>
      </c>
      <c r="G67" s="63">
        <v>40</v>
      </c>
      <c r="H67" s="63">
        <v>40</v>
      </c>
      <c r="I67" s="63">
        <v>30</v>
      </c>
      <c r="J67" s="65">
        <v>30</v>
      </c>
      <c r="K67" t="s">
        <v>103</v>
      </c>
    </row>
    <row r="68" spans="5:14" x14ac:dyDescent="0.25">
      <c r="E68" s="30" t="s">
        <v>83</v>
      </c>
      <c r="F68" s="1" t="s">
        <v>34</v>
      </c>
      <c r="G68" s="39">
        <f t="shared" ref="G68:J70" si="12">1/G51</f>
        <v>0.3125</v>
      </c>
      <c r="H68" s="39">
        <f t="shared" si="12"/>
        <v>0.29411764705882354</v>
      </c>
      <c r="I68" s="39">
        <f t="shared" si="12"/>
        <v>0.29411764705882354</v>
      </c>
      <c r="J68" s="40">
        <f t="shared" si="12"/>
        <v>0.29411764705882354</v>
      </c>
    </row>
    <row r="69" spans="5:14" x14ac:dyDescent="0.25">
      <c r="E69" s="30" t="s">
        <v>84</v>
      </c>
      <c r="F69" s="1"/>
      <c r="G69" s="153">
        <f t="shared" si="12"/>
        <v>0.1</v>
      </c>
      <c r="H69" s="153">
        <f t="shared" si="12"/>
        <v>0.1</v>
      </c>
      <c r="I69" s="153">
        <f t="shared" si="12"/>
        <v>0.1</v>
      </c>
      <c r="J69" s="168">
        <f t="shared" si="12"/>
        <v>0.1</v>
      </c>
    </row>
    <row r="70" spans="5:14" x14ac:dyDescent="0.25">
      <c r="E70" s="30" t="s">
        <v>85</v>
      </c>
      <c r="F70" s="1"/>
      <c r="G70" s="153">
        <f t="shared" si="12"/>
        <v>1.0204081632653061</v>
      </c>
      <c r="H70" s="153">
        <f t="shared" si="12"/>
        <v>1.0204081632653061</v>
      </c>
      <c r="I70" s="153">
        <f t="shared" si="12"/>
        <v>1.0204081632653061</v>
      </c>
      <c r="J70" s="168">
        <f t="shared" si="12"/>
        <v>1.0204081632653061</v>
      </c>
    </row>
    <row r="71" spans="5:14" x14ac:dyDescent="0.25">
      <c r="E71" s="30" t="s">
        <v>26</v>
      </c>
      <c r="F71" s="1" t="s">
        <v>32</v>
      </c>
      <c r="G71" s="79">
        <f>$C$11</f>
        <v>23</v>
      </c>
      <c r="H71" s="79">
        <f>$C$11</f>
        <v>23</v>
      </c>
      <c r="I71" s="79">
        <f>$C$11</f>
        <v>23</v>
      </c>
      <c r="J71" s="80">
        <f>$C$11</f>
        <v>23</v>
      </c>
      <c r="M71" s="73"/>
      <c r="N71" s="73"/>
    </row>
    <row r="72" spans="5:14" x14ac:dyDescent="0.25">
      <c r="E72" s="30" t="s">
        <v>27</v>
      </c>
      <c r="F72" s="1" t="s">
        <v>32</v>
      </c>
      <c r="G72" s="81">
        <f>$C$12</f>
        <v>27.3</v>
      </c>
      <c r="H72" s="81">
        <f>$C$13</f>
        <v>21.8</v>
      </c>
      <c r="I72" s="81">
        <f>$C$13</f>
        <v>21.8</v>
      </c>
      <c r="J72" s="82">
        <f>$C$13</f>
        <v>21.8</v>
      </c>
    </row>
    <row r="73" spans="5:14" x14ac:dyDescent="0.25">
      <c r="E73" s="30" t="s">
        <v>28</v>
      </c>
      <c r="F73" s="1" t="s">
        <v>32</v>
      </c>
      <c r="G73" s="81">
        <f>$C$14</f>
        <v>16.32</v>
      </c>
      <c r="H73" s="93">
        <f>$C$15</f>
        <v>0.48</v>
      </c>
      <c r="I73" s="93">
        <f>$C$15</f>
        <v>0.48</v>
      </c>
      <c r="J73" s="94">
        <f>$C$15</f>
        <v>0.48</v>
      </c>
    </row>
    <row r="74" spans="5:14" x14ac:dyDescent="0.25">
      <c r="E74" s="29" t="s">
        <v>89</v>
      </c>
      <c r="F74" s="1" t="s">
        <v>32</v>
      </c>
      <c r="G74" s="66">
        <f t="shared" ref="G74:J74" si="13">(G72+G71+G73)</f>
        <v>66.62</v>
      </c>
      <c r="H74" s="66">
        <f t="shared" si="13"/>
        <v>45.279999999999994</v>
      </c>
      <c r="I74" s="66">
        <f t="shared" si="13"/>
        <v>45.279999999999994</v>
      </c>
      <c r="J74" s="67">
        <f t="shared" si="13"/>
        <v>45.279999999999994</v>
      </c>
    </row>
    <row r="75" spans="5:14" ht="15.75" thickBot="1" x14ac:dyDescent="0.3">
      <c r="E75" s="41" t="s">
        <v>8</v>
      </c>
      <c r="F75" s="42" t="s">
        <v>33</v>
      </c>
      <c r="G75" s="156">
        <v>1.5</v>
      </c>
      <c r="H75" s="156">
        <v>1.5</v>
      </c>
      <c r="I75" s="156">
        <v>1.3</v>
      </c>
      <c r="J75" s="176">
        <v>1.2</v>
      </c>
      <c r="K75" t="s">
        <v>103</v>
      </c>
    </row>
    <row r="76" spans="5:14" x14ac:dyDescent="0.25">
      <c r="E76" s="43" t="s">
        <v>14</v>
      </c>
      <c r="F76" s="44" t="s">
        <v>33</v>
      </c>
      <c r="G76" s="45">
        <f>(G81+G82+G83+G84+G85)/G88</f>
        <v>43.61308819514506</v>
      </c>
      <c r="H76" s="45">
        <f t="shared" ref="H76:J76" si="14">(H81+H82+H83+H84+H85)/H88</f>
        <v>30.690927978294742</v>
      </c>
      <c r="I76" s="45">
        <f t="shared" si="14"/>
        <v>27.656120828723388</v>
      </c>
      <c r="J76" s="45">
        <f t="shared" si="14"/>
        <v>26.107414755336581</v>
      </c>
    </row>
    <row r="77" spans="5:14" x14ac:dyDescent="0.25">
      <c r="E77" s="46" t="s">
        <v>44</v>
      </c>
      <c r="F77" s="47"/>
      <c r="G77" s="178">
        <v>0.8</v>
      </c>
      <c r="H77" s="178">
        <v>0.8</v>
      </c>
      <c r="I77" s="178">
        <v>0.8</v>
      </c>
      <c r="J77" s="178">
        <v>0.8</v>
      </c>
    </row>
    <row r="78" spans="5:14" ht="15.75" thickBot="1" x14ac:dyDescent="0.3">
      <c r="E78" s="48" t="s">
        <v>15</v>
      </c>
      <c r="F78" s="49" t="s">
        <v>33</v>
      </c>
      <c r="G78" s="5">
        <f t="shared" ref="G78:J78" si="15">G76*G77</f>
        <v>34.89047055611605</v>
      </c>
      <c r="H78" s="5">
        <f t="shared" si="15"/>
        <v>24.552742382635795</v>
      </c>
      <c r="I78" s="5">
        <f t="shared" si="15"/>
        <v>22.124896662978713</v>
      </c>
      <c r="J78" s="18">
        <f t="shared" si="15"/>
        <v>20.885931804269266</v>
      </c>
    </row>
    <row r="79" spans="5:14" x14ac:dyDescent="0.25">
      <c r="G79" s="7"/>
      <c r="H79" s="7"/>
      <c r="I79" s="7"/>
      <c r="J79" s="7"/>
    </row>
    <row r="80" spans="5:14" x14ac:dyDescent="0.25">
      <c r="E80" s="50" t="s">
        <v>9</v>
      </c>
      <c r="F80" s="51"/>
      <c r="G80" s="53"/>
      <c r="H80" s="53"/>
      <c r="I80" s="53"/>
      <c r="J80" s="53"/>
    </row>
    <row r="81" spans="5:12" x14ac:dyDescent="0.25">
      <c r="E81" s="54" t="str">
        <f>E57</f>
        <v>Investeringskostnader</v>
      </c>
      <c r="F81" s="8" t="s">
        <v>10</v>
      </c>
      <c r="G81" s="55">
        <f t="shared" ref="G81:J81" si="16">G66*100*1000*G49</f>
        <v>568689957.87185001</v>
      </c>
      <c r="H81" s="55">
        <f t="shared" si="16"/>
        <v>836508898.32438838</v>
      </c>
      <c r="I81" s="55">
        <f t="shared" si="16"/>
        <v>3388041352.433248</v>
      </c>
      <c r="J81" s="55">
        <f t="shared" si="16"/>
        <v>5905710648.9637966</v>
      </c>
    </row>
    <row r="82" spans="5:12" x14ac:dyDescent="0.25">
      <c r="E82" s="56" t="str">
        <f>E67</f>
        <v>Faste driftskostnader</v>
      </c>
      <c r="F82" s="9" t="s">
        <v>10</v>
      </c>
      <c r="G82" s="57">
        <f>-PV($C$8,$C$7,G67*100*1000*G49)</f>
        <v>22939842.437130526</v>
      </c>
      <c r="H82" s="57">
        <f>-PV($C$8,$C$7,H67*100*1000*H49)</f>
        <v>45879684.874261051</v>
      </c>
      <c r="I82" s="57">
        <f>-PV($C$8,$C$7,I67*100*1000*I49)</f>
        <v>172048818.27847895</v>
      </c>
      <c r="J82" s="57">
        <f>-PV($C$8,$C$7,J67*100*1000*J49)</f>
        <v>344097636.5569579</v>
      </c>
    </row>
    <row r="83" spans="5:12" x14ac:dyDescent="0.25">
      <c r="E83" s="56" t="str">
        <f>E75</f>
        <v>Variable kostnader eks brensel</v>
      </c>
      <c r="F83" s="9" t="s">
        <v>10</v>
      </c>
      <c r="G83" s="57">
        <f>-PV($C$8,$C$7,G75*1000*G49*G54)</f>
        <v>34409763.655695789</v>
      </c>
      <c r="H83" s="57">
        <f>-PV($C$8,$C$7,H75*1000*H49*H54)</f>
        <v>68819527.311391577</v>
      </c>
      <c r="I83" s="57">
        <f>-PV($C$8,$C$7,I75*1000*I49*I54)</f>
        <v>298217951.68269682</v>
      </c>
      <c r="J83" s="57">
        <f>-PV($C$8,$C$7,J75*1000*J49*J54)</f>
        <v>550556218.49113262</v>
      </c>
    </row>
    <row r="84" spans="5:12" x14ac:dyDescent="0.25">
      <c r="E84" s="56" t="s">
        <v>87</v>
      </c>
      <c r="F84" s="9" t="s">
        <v>10</v>
      </c>
      <c r="G84" s="57">
        <f>-PV($C$8,$C$7,G74*G68*G49*G54*1000)-PV($C$8,$C$7,G74*G70*G50*G56*1000)</f>
        <v>633522957.30552495</v>
      </c>
      <c r="H84" s="57">
        <f>-PV($C$8,$C$7,H74*H68*H49*H54*1000)-PV($C$8,$C$7,H74*H70*H50*H56*1000)</f>
        <v>822992320.84652853</v>
      </c>
      <c r="I84" s="57">
        <f>-PV($C$8,$C$7,I74*I68*I49*I54*1000)-PV($C$8,$C$7,I74*I70*I50*I56*1000)</f>
        <v>4114961604.2326427</v>
      </c>
      <c r="J84" s="57">
        <f>-PV($C$8,$C$7,J74*J68*J49*J54*1000)-PV($C$8,$C$7,J74*J70*J50*J56*1000)</f>
        <v>8229923208.4652853</v>
      </c>
    </row>
    <row r="85" spans="5:12" x14ac:dyDescent="0.25">
      <c r="E85" s="56" t="s">
        <v>88</v>
      </c>
      <c r="F85" s="9"/>
      <c r="G85" s="57">
        <f>-PV($C$8,$C$7,G74*G69*G49*G55*1000)</f>
        <v>30565046.063232712</v>
      </c>
      <c r="H85" s="57">
        <f>-PV($C$8,$C$7,H74*H69*H49*H55*1000)</f>
        <v>41548642.622130804</v>
      </c>
      <c r="I85" s="57">
        <f>-PV($C$8,$C$7,I74*I69*I49*I55*1000)</f>
        <v>207743213.110654</v>
      </c>
      <c r="J85" s="57">
        <f>-PV($C$8,$C$7,J74*J69*J49*J55*1000)</f>
        <v>415486426.22130799</v>
      </c>
    </row>
    <row r="86" spans="5:12" x14ac:dyDescent="0.25">
      <c r="E86" s="96" t="s">
        <v>59</v>
      </c>
      <c r="F86" s="97" t="s">
        <v>11</v>
      </c>
      <c r="G86" s="58">
        <f>-PV($C$8+$C$10,$C$7,G49*G54*1000)-PV($C$8+$C$10,$C$7,G50*G56*1000)</f>
        <v>25030247.760575015</v>
      </c>
      <c r="H86" s="58">
        <f>-PV($C$8+$C$10,$C$7,H49*H54*1000)-PV($C$8+$C$10,$C$7,H50*H56*1000)</f>
        <v>50060495.52115003</v>
      </c>
      <c r="I86" s="58">
        <f>-PV($C$8+$C$10,$C$7,I49*I54*1000)-PV($C$8+$C$10,$C$7,I50*I56*1000)</f>
        <v>250302477.60575011</v>
      </c>
      <c r="J86" s="58">
        <f>-PV($C$8+$C$10,$C$7,J49*J54*1000)-PV($C$8+$C$10,$C$7,J50*J56*1000)</f>
        <v>500604955.21150023</v>
      </c>
    </row>
    <row r="87" spans="5:12" x14ac:dyDescent="0.25">
      <c r="E87" s="96" t="s">
        <v>86</v>
      </c>
      <c r="F87" s="97"/>
      <c r="G87" s="58">
        <f>-PV($C$8+$C$10,$C$7,G49*G55*1000)</f>
        <v>4550954.1382863652</v>
      </c>
      <c r="H87" s="58">
        <f>-PV($C$8+$C$10,$C$7,H49*H55*1000)</f>
        <v>9101908.2765727304</v>
      </c>
      <c r="I87" s="58">
        <f>-PV($C$8+$C$10,$C$7,I49*I55*1000)</f>
        <v>45509541.382863663</v>
      </c>
      <c r="J87" s="58">
        <f>-PV($C$8+$C$10,$C$7,J49*J55*1000)</f>
        <v>91019082.765727326</v>
      </c>
    </row>
    <row r="88" spans="5:12" x14ac:dyDescent="0.25">
      <c r="E88" s="98" t="s">
        <v>60</v>
      </c>
      <c r="F88" s="4" t="s">
        <v>2</v>
      </c>
      <c r="G88" s="59">
        <f t="shared" ref="G88:J88" si="17">SUM(G86:G87)</f>
        <v>29581201.898861378</v>
      </c>
      <c r="H88" s="59">
        <f t="shared" si="17"/>
        <v>59162403.797722757</v>
      </c>
      <c r="I88" s="59">
        <f t="shared" si="17"/>
        <v>295812018.98861378</v>
      </c>
      <c r="J88" s="59">
        <f t="shared" si="17"/>
        <v>591624037.97722757</v>
      </c>
    </row>
    <row r="89" spans="5:12" ht="15.75" thickBot="1" x14ac:dyDescent="0.3"/>
    <row r="90" spans="5:12" ht="15.75" thickBot="1" x14ac:dyDescent="0.3">
      <c r="E90" s="261" t="s">
        <v>96</v>
      </c>
      <c r="F90" s="262"/>
      <c r="G90" s="262"/>
      <c r="H90" s="262"/>
      <c r="I90" s="262"/>
      <c r="J90" s="263"/>
      <c r="K90" s="14"/>
      <c r="L90" s="14"/>
    </row>
    <row r="91" spans="5:12" x14ac:dyDescent="0.25">
      <c r="E91" s="83"/>
      <c r="F91" s="84" t="s">
        <v>3</v>
      </c>
      <c r="G91" s="86"/>
      <c r="H91" s="85"/>
      <c r="I91" s="85"/>
      <c r="J91" s="88"/>
      <c r="K91" s="14"/>
      <c r="L91" s="14"/>
    </row>
    <row r="92" spans="5:12" ht="15.75" thickBot="1" x14ac:dyDescent="0.3">
      <c r="E92" s="23" t="s">
        <v>82</v>
      </c>
      <c r="F92" s="24" t="s">
        <v>23</v>
      </c>
      <c r="G92" s="150">
        <v>0.5</v>
      </c>
      <c r="H92" s="150">
        <v>1</v>
      </c>
      <c r="I92" s="150">
        <v>5</v>
      </c>
      <c r="J92" s="152">
        <v>10</v>
      </c>
      <c r="K92" s="17" t="s">
        <v>13</v>
      </c>
      <c r="L92" s="17" t="s">
        <v>12</v>
      </c>
    </row>
    <row r="93" spans="5:12" x14ac:dyDescent="0.25">
      <c r="E93" s="169" t="s">
        <v>76</v>
      </c>
      <c r="F93" s="170"/>
      <c r="G93" s="140">
        <v>1</v>
      </c>
      <c r="H93" s="140">
        <v>2</v>
      </c>
      <c r="I93" s="140">
        <v>10</v>
      </c>
      <c r="J93" s="141">
        <v>20</v>
      </c>
      <c r="K93" s="17"/>
      <c r="L93" s="17"/>
    </row>
    <row r="94" spans="5:12" x14ac:dyDescent="0.25">
      <c r="E94" s="41" t="s">
        <v>58</v>
      </c>
      <c r="F94" s="161"/>
      <c r="G94" s="140">
        <v>2.6</v>
      </c>
      <c r="H94" s="140">
        <v>2.8</v>
      </c>
      <c r="I94" s="140">
        <v>2.8</v>
      </c>
      <c r="J94" s="141">
        <v>2.8</v>
      </c>
      <c r="K94" t="s">
        <v>108</v>
      </c>
    </row>
    <row r="95" spans="5:12" x14ac:dyDescent="0.25">
      <c r="E95" s="29" t="s">
        <v>77</v>
      </c>
      <c r="F95" s="162"/>
      <c r="G95" s="33">
        <v>10</v>
      </c>
      <c r="H95" s="33">
        <v>10</v>
      </c>
      <c r="I95" s="33">
        <v>10</v>
      </c>
      <c r="J95" s="34">
        <v>10</v>
      </c>
    </row>
    <row r="96" spans="5:12" x14ac:dyDescent="0.25">
      <c r="E96" s="165" t="s">
        <v>78</v>
      </c>
      <c r="F96" s="163"/>
      <c r="G96" s="148">
        <v>0.98</v>
      </c>
      <c r="H96" s="148">
        <v>0.98</v>
      </c>
      <c r="I96" s="148">
        <v>0.98</v>
      </c>
      <c r="J96" s="166">
        <v>0.98</v>
      </c>
    </row>
    <row r="97" spans="5:14" x14ac:dyDescent="0.25">
      <c r="E97" s="29" t="s">
        <v>79</v>
      </c>
      <c r="F97" s="75" t="s">
        <v>4</v>
      </c>
      <c r="G97" s="142">
        <v>4000</v>
      </c>
      <c r="H97" s="142">
        <v>4000</v>
      </c>
      <c r="I97" s="142">
        <v>4000</v>
      </c>
      <c r="J97" s="145">
        <v>4000</v>
      </c>
      <c r="K97" t="s">
        <v>110</v>
      </c>
    </row>
    <row r="98" spans="5:14" x14ac:dyDescent="0.25">
      <c r="E98" s="29" t="s">
        <v>80</v>
      </c>
      <c r="F98" s="162"/>
      <c r="G98" s="144">
        <v>800</v>
      </c>
      <c r="H98" s="144">
        <v>800</v>
      </c>
      <c r="I98" s="144">
        <v>800</v>
      </c>
      <c r="J98" s="154">
        <v>800</v>
      </c>
    </row>
    <row r="99" spans="5:14" x14ac:dyDescent="0.25">
      <c r="E99" s="165" t="s">
        <v>81</v>
      </c>
      <c r="F99" s="163"/>
      <c r="G99" s="146">
        <v>100</v>
      </c>
      <c r="H99" s="146">
        <v>100</v>
      </c>
      <c r="I99" s="146">
        <v>100</v>
      </c>
      <c r="J99" s="146">
        <v>100</v>
      </c>
    </row>
    <row r="100" spans="5:14" x14ac:dyDescent="0.25">
      <c r="E100" s="29" t="s">
        <v>5</v>
      </c>
      <c r="F100" s="91"/>
      <c r="G100" s="92"/>
      <c r="H100" s="75"/>
      <c r="I100" s="75"/>
      <c r="J100" s="78"/>
      <c r="M100" s="100"/>
      <c r="N100" s="100"/>
    </row>
    <row r="101" spans="5:14" x14ac:dyDescent="0.25">
      <c r="E101" s="30" t="s">
        <v>40</v>
      </c>
      <c r="F101" s="164" t="s">
        <v>41</v>
      </c>
      <c r="G101" s="71">
        <v>2000000</v>
      </c>
      <c r="H101" s="31">
        <v>4000000</v>
      </c>
      <c r="I101" s="31">
        <v>18500000</v>
      </c>
      <c r="J101" s="32">
        <v>35000000</v>
      </c>
      <c r="K101" t="s">
        <v>111</v>
      </c>
    </row>
    <row r="102" spans="5:14" x14ac:dyDescent="0.25">
      <c r="E102" s="30" t="s">
        <v>42</v>
      </c>
      <c r="F102" s="164" t="s">
        <v>43</v>
      </c>
      <c r="G102" s="72">
        <f>(3300*G92*1000)</f>
        <v>1650000</v>
      </c>
      <c r="H102" s="31">
        <f>(2160*H92*1000)</f>
        <v>2160000</v>
      </c>
      <c r="I102" s="31">
        <f>(2013*I92*1000)</f>
        <v>10065000</v>
      </c>
      <c r="J102" s="32">
        <f>(1870*J92*1000)</f>
        <v>18700000</v>
      </c>
      <c r="K102" t="s">
        <v>102</v>
      </c>
    </row>
    <row r="103" spans="5:14" x14ac:dyDescent="0.25">
      <c r="E103" s="30" t="s">
        <v>91</v>
      </c>
      <c r="F103" s="19" t="s">
        <v>29</v>
      </c>
      <c r="G103" s="90">
        <f t="shared" ref="G103:J104" si="18">G101/(G$6*1000)</f>
        <v>4000</v>
      </c>
      <c r="H103" s="74">
        <f t="shared" si="18"/>
        <v>4000</v>
      </c>
      <c r="I103" s="74">
        <f t="shared" si="18"/>
        <v>3700</v>
      </c>
      <c r="J103" s="89">
        <f t="shared" si="18"/>
        <v>3500</v>
      </c>
    </row>
    <row r="104" spans="5:14" x14ac:dyDescent="0.25">
      <c r="E104" s="30" t="s">
        <v>25</v>
      </c>
      <c r="F104" s="1" t="s">
        <v>29</v>
      </c>
      <c r="G104" s="90">
        <f t="shared" si="18"/>
        <v>3300</v>
      </c>
      <c r="H104" s="74">
        <f t="shared" si="18"/>
        <v>2160</v>
      </c>
      <c r="I104" s="74">
        <f t="shared" si="18"/>
        <v>2013</v>
      </c>
      <c r="J104" s="89">
        <f t="shared" si="18"/>
        <v>1870</v>
      </c>
    </row>
    <row r="105" spans="5:14" x14ac:dyDescent="0.25">
      <c r="E105" s="30" t="s">
        <v>90</v>
      </c>
      <c r="F105" s="1"/>
      <c r="G105" s="74">
        <v>4000</v>
      </c>
      <c r="H105" s="74">
        <v>2500</v>
      </c>
      <c r="I105" s="74">
        <v>1500</v>
      </c>
      <c r="J105" s="89">
        <v>1000</v>
      </c>
      <c r="K105" t="s">
        <v>108</v>
      </c>
    </row>
    <row r="106" spans="5:14" x14ac:dyDescent="0.25">
      <c r="E106" s="30" t="s">
        <v>61</v>
      </c>
      <c r="F106" s="1"/>
      <c r="G106" s="74">
        <v>800</v>
      </c>
      <c r="H106" s="74">
        <v>800</v>
      </c>
      <c r="I106" s="74">
        <v>800</v>
      </c>
      <c r="J106" s="89">
        <v>800</v>
      </c>
      <c r="K106" t="s">
        <v>73</v>
      </c>
    </row>
    <row r="107" spans="5:14" x14ac:dyDescent="0.25">
      <c r="E107" s="30" t="s">
        <v>62</v>
      </c>
      <c r="F107" s="1"/>
      <c r="G107" s="179">
        <v>1351</v>
      </c>
      <c r="H107" s="74">
        <v>1242</v>
      </c>
      <c r="I107" s="74">
        <v>911</v>
      </c>
      <c r="J107" s="89">
        <v>690</v>
      </c>
      <c r="K107" t="s">
        <v>73</v>
      </c>
    </row>
    <row r="108" spans="5:14" x14ac:dyDescent="0.25">
      <c r="E108" s="3" t="s">
        <v>6</v>
      </c>
      <c r="F108" s="19" t="s">
        <v>29</v>
      </c>
      <c r="G108" s="35">
        <f>SUM(G103:G104)*(((1+($C$8))*((1+$C$8)^($C$5)-1))/($C$8*$C$5))-SUM(G103:G104)</f>
        <v>325.28676985801849</v>
      </c>
      <c r="H108" s="35">
        <f>SUM(H103:H104)*(((1+($C$8))*((1+$C$8)^($C$5)-1))/($C$8*$C$5))-SUM(H103:H104)</f>
        <v>274.48856196238285</v>
      </c>
      <c r="I108" s="35">
        <f>SUM(I103:I104)*(((1+($C$8))*((1+$C$8)^($C$5)-1))/($C$8*$C$5))-SUM(I103:I104)</f>
        <v>254.57031728751554</v>
      </c>
      <c r="J108" s="36">
        <f>SUM(J103:J104)*(((1+($C$8))*((1+$C$8)^($C$5)-1))/($C$8*$C$5))-SUM(J103:J104)</f>
        <v>239.28629508733684</v>
      </c>
    </row>
    <row r="109" spans="5:14" x14ac:dyDescent="0.25">
      <c r="E109" s="28" t="s">
        <v>7</v>
      </c>
      <c r="F109" s="2" t="s">
        <v>30</v>
      </c>
      <c r="G109" s="37">
        <f t="shared" ref="G109:J109" si="19">SUM(G103:G108)</f>
        <v>13776.286769858019</v>
      </c>
      <c r="H109" s="37">
        <f t="shared" si="19"/>
        <v>10976.488561962382</v>
      </c>
      <c r="I109" s="37">
        <f t="shared" si="19"/>
        <v>9178.5703172875146</v>
      </c>
      <c r="J109" s="38">
        <f t="shared" si="19"/>
        <v>8099.2862950873368</v>
      </c>
    </row>
    <row r="110" spans="5:14" x14ac:dyDescent="0.25">
      <c r="E110" s="28" t="s">
        <v>0</v>
      </c>
      <c r="F110" s="2" t="s">
        <v>31</v>
      </c>
      <c r="G110" s="63">
        <v>40</v>
      </c>
      <c r="H110" s="63">
        <v>40</v>
      </c>
      <c r="I110" s="63">
        <v>30</v>
      </c>
      <c r="J110" s="65">
        <v>30</v>
      </c>
      <c r="K110" t="s">
        <v>109</v>
      </c>
    </row>
    <row r="111" spans="5:14" x14ac:dyDescent="0.25">
      <c r="E111" s="30" t="s">
        <v>83</v>
      </c>
      <c r="F111" s="1" t="s">
        <v>34</v>
      </c>
      <c r="G111" s="39">
        <f t="shared" ref="G111:J113" si="20">1/G94</f>
        <v>0.38461538461538458</v>
      </c>
      <c r="H111" s="39">
        <f t="shared" si="20"/>
        <v>0.35714285714285715</v>
      </c>
      <c r="I111" s="39">
        <f t="shared" si="20"/>
        <v>0.35714285714285715</v>
      </c>
      <c r="J111" s="40">
        <f t="shared" si="20"/>
        <v>0.35714285714285715</v>
      </c>
    </row>
    <row r="112" spans="5:14" x14ac:dyDescent="0.25">
      <c r="E112" s="30" t="s">
        <v>84</v>
      </c>
      <c r="F112" s="1"/>
      <c r="G112" s="153">
        <f t="shared" si="20"/>
        <v>0.1</v>
      </c>
      <c r="H112" s="153">
        <f t="shared" si="20"/>
        <v>0.1</v>
      </c>
      <c r="I112" s="153">
        <f t="shared" si="20"/>
        <v>0.1</v>
      </c>
      <c r="J112" s="168">
        <f t="shared" si="20"/>
        <v>0.1</v>
      </c>
    </row>
    <row r="113" spans="5:11" x14ac:dyDescent="0.25">
      <c r="E113" s="30" t="s">
        <v>85</v>
      </c>
      <c r="F113" s="1"/>
      <c r="G113" s="153">
        <f t="shared" si="20"/>
        <v>1.0204081632653061</v>
      </c>
      <c r="H113" s="153">
        <f t="shared" si="20"/>
        <v>1.0204081632653061</v>
      </c>
      <c r="I113" s="153">
        <f t="shared" si="20"/>
        <v>1.0204081632653061</v>
      </c>
      <c r="J113" s="168">
        <f t="shared" si="20"/>
        <v>1.0204081632653061</v>
      </c>
    </row>
    <row r="114" spans="5:11" x14ac:dyDescent="0.25">
      <c r="E114" s="30" t="s">
        <v>26</v>
      </c>
      <c r="F114" s="1" t="s">
        <v>32</v>
      </c>
      <c r="G114" s="79">
        <f>$C$11</f>
        <v>23</v>
      </c>
      <c r="H114" s="79">
        <f>$C$11</f>
        <v>23</v>
      </c>
      <c r="I114" s="79">
        <f>$C$11</f>
        <v>23</v>
      </c>
      <c r="J114" s="80">
        <f>$C$11</f>
        <v>23</v>
      </c>
    </row>
    <row r="115" spans="5:11" x14ac:dyDescent="0.25">
      <c r="E115" s="30" t="s">
        <v>27</v>
      </c>
      <c r="F115" s="1" t="s">
        <v>32</v>
      </c>
      <c r="G115" s="81">
        <f>$C$12</f>
        <v>27.3</v>
      </c>
      <c r="H115" s="79">
        <f>$C$13</f>
        <v>21.8</v>
      </c>
      <c r="I115" s="79">
        <f>$C$13</f>
        <v>21.8</v>
      </c>
      <c r="J115" s="80">
        <f>$C$13</f>
        <v>21.8</v>
      </c>
    </row>
    <row r="116" spans="5:11" x14ac:dyDescent="0.25">
      <c r="E116" s="30" t="s">
        <v>28</v>
      </c>
      <c r="F116" s="1" t="s">
        <v>32</v>
      </c>
      <c r="G116" s="81">
        <f>$C$14</f>
        <v>16.32</v>
      </c>
      <c r="H116" s="79">
        <f>$C$15</f>
        <v>0.48</v>
      </c>
      <c r="I116" s="79">
        <f>$C$15</f>
        <v>0.48</v>
      </c>
      <c r="J116" s="80">
        <f>$C$15</f>
        <v>0.48</v>
      </c>
    </row>
    <row r="117" spans="5:11" x14ac:dyDescent="0.25">
      <c r="E117" s="29" t="s">
        <v>89</v>
      </c>
      <c r="F117" s="1" t="s">
        <v>32</v>
      </c>
      <c r="G117" s="66">
        <f t="shared" ref="G117:J117" si="21">(G115+G114+G116)</f>
        <v>66.62</v>
      </c>
      <c r="H117" s="66">
        <f t="shared" si="21"/>
        <v>45.279999999999994</v>
      </c>
      <c r="I117" s="66">
        <f t="shared" si="21"/>
        <v>45.279999999999994</v>
      </c>
      <c r="J117" s="67">
        <f t="shared" si="21"/>
        <v>45.279999999999994</v>
      </c>
    </row>
    <row r="118" spans="5:11" ht="15.75" thickBot="1" x14ac:dyDescent="0.3">
      <c r="E118" s="41" t="s">
        <v>8</v>
      </c>
      <c r="F118" s="42" t="s">
        <v>33</v>
      </c>
      <c r="G118" s="156">
        <v>1.5</v>
      </c>
      <c r="H118" s="156">
        <v>1.5</v>
      </c>
      <c r="I118" s="156">
        <v>1.3</v>
      </c>
      <c r="J118" s="176">
        <v>1.2</v>
      </c>
      <c r="K118" t="s">
        <v>109</v>
      </c>
    </row>
    <row r="119" spans="5:11" x14ac:dyDescent="0.25">
      <c r="E119" s="43" t="s">
        <v>14</v>
      </c>
      <c r="F119" s="44" t="s">
        <v>33</v>
      </c>
      <c r="G119" s="45">
        <f>(G124+G125+G126+G127+G128)/G131</f>
        <v>50.714302116724475</v>
      </c>
      <c r="H119" s="45">
        <f t="shared" ref="H119:J119" si="22">(H124+H125+H126+H127+H128)/H131</f>
        <v>36.947473065588916</v>
      </c>
      <c r="I119" s="45">
        <f t="shared" si="22"/>
        <v>33.424032897740901</v>
      </c>
      <c r="J119" s="45">
        <f t="shared" si="22"/>
        <v>31.446137849124806</v>
      </c>
    </row>
    <row r="120" spans="5:11" x14ac:dyDescent="0.25">
      <c r="E120" s="46" t="s">
        <v>44</v>
      </c>
      <c r="F120" s="47"/>
      <c r="G120" s="178">
        <v>0.8</v>
      </c>
      <c r="H120" s="178">
        <v>0.8</v>
      </c>
      <c r="I120" s="178">
        <v>0.8</v>
      </c>
      <c r="J120" s="178">
        <v>0.8</v>
      </c>
    </row>
    <row r="121" spans="5:11" ht="15.75" thickBot="1" x14ac:dyDescent="0.3">
      <c r="E121" s="48" t="s">
        <v>15</v>
      </c>
      <c r="F121" s="49" t="s">
        <v>33</v>
      </c>
      <c r="G121" s="5">
        <f t="shared" ref="G121:J121" si="23">G119*G120</f>
        <v>40.571441693379583</v>
      </c>
      <c r="H121" s="5">
        <f t="shared" si="23"/>
        <v>29.557978452471133</v>
      </c>
      <c r="I121" s="5">
        <f t="shared" si="23"/>
        <v>26.739226318192721</v>
      </c>
      <c r="J121" s="18">
        <f t="shared" si="23"/>
        <v>25.156910279299847</v>
      </c>
    </row>
    <row r="122" spans="5:11" x14ac:dyDescent="0.25">
      <c r="G122" s="7"/>
      <c r="H122" s="7"/>
      <c r="I122" s="7"/>
      <c r="J122" s="7"/>
    </row>
    <row r="123" spans="5:11" x14ac:dyDescent="0.25">
      <c r="E123" s="50" t="s">
        <v>9</v>
      </c>
      <c r="F123" s="51"/>
      <c r="G123" s="53"/>
      <c r="H123" s="53"/>
      <c r="I123" s="53"/>
      <c r="J123" s="53"/>
    </row>
    <row r="124" spans="5:11" x14ac:dyDescent="0.25">
      <c r="E124" s="54" t="str">
        <f>E100</f>
        <v>Investeringskostnader</v>
      </c>
      <c r="F124" s="8" t="s">
        <v>10</v>
      </c>
      <c r="G124" s="55">
        <f t="shared" ref="G124:J124" si="24">G109*100*1000*G92</f>
        <v>688814338.49290097</v>
      </c>
      <c r="H124" s="55">
        <f t="shared" si="24"/>
        <v>1097648856.1962383</v>
      </c>
      <c r="I124" s="55">
        <f t="shared" si="24"/>
        <v>4589285158.6437578</v>
      </c>
      <c r="J124" s="55">
        <f t="shared" si="24"/>
        <v>8099286295.0873365</v>
      </c>
    </row>
    <row r="125" spans="5:11" x14ac:dyDescent="0.25">
      <c r="E125" s="56" t="str">
        <f>E110</f>
        <v>Faste driftskostnader</v>
      </c>
      <c r="F125" s="9" t="s">
        <v>10</v>
      </c>
      <c r="G125" s="57">
        <f>-PV($C$8,$C$7,G110*100*1000*G92)</f>
        <v>22939842.437130526</v>
      </c>
      <c r="H125" s="57">
        <f>-PV($C$8,$C$7,H110*100*1000*H92)</f>
        <v>45879684.874261051</v>
      </c>
      <c r="I125" s="57">
        <f>-PV($C$8,$C$7,I110*100*1000*I92)</f>
        <v>172048818.27847895</v>
      </c>
      <c r="J125" s="57">
        <f>-PV($C$8,$C$7,J110*100*1000*J92)</f>
        <v>344097636.5569579</v>
      </c>
    </row>
    <row r="126" spans="5:11" x14ac:dyDescent="0.25">
      <c r="E126" s="56" t="str">
        <f>E118</f>
        <v>Variable kostnader eks brensel</v>
      </c>
      <c r="F126" s="9" t="s">
        <v>10</v>
      </c>
      <c r="G126" s="57">
        <f>-PV($C$8,$C$7,G118*1000*G92*G97)</f>
        <v>34409763.655695789</v>
      </c>
      <c r="H126" s="57">
        <f>-PV($C$8,$C$7,H118*1000*H92*H97)</f>
        <v>68819527.311391577</v>
      </c>
      <c r="I126" s="57">
        <f>-PV($C$8,$C$7,I118*1000*I92*I97)</f>
        <v>298217951.68269682</v>
      </c>
      <c r="J126" s="57">
        <f>-PV($C$8,$C$7,J118*1000*J92*J97)</f>
        <v>550556218.49113262</v>
      </c>
    </row>
    <row r="127" spans="5:11" x14ac:dyDescent="0.25">
      <c r="E127" s="56" t="s">
        <v>87</v>
      </c>
      <c r="F127" s="9" t="s">
        <v>10</v>
      </c>
      <c r="G127" s="57">
        <f>-PV($C$8,$C$7,G117*G111*G92*G97*1000)-PV($C$8,$C$7,G117*G113*G93*G99*1000)</f>
        <v>665761403.65361679</v>
      </c>
      <c r="H127" s="57">
        <f>-PV($C$8,$C$7,H117*H111*H92*H97*1000)-PV($C$8,$C$7,H117*H113*H93*H99*1000)</f>
        <v>847931482.08430207</v>
      </c>
      <c r="I127" s="57">
        <f>-PV($C$8,$C$7,I117*I111*I92*I97*1000)-PV($C$8,$C$7,I117*I113*I93*I99*1000)</f>
        <v>4239657410.4215107</v>
      </c>
      <c r="J127" s="57">
        <f>-PV($C$8,$C$7,J117*J111*J92*J97*1000)-PV($C$8,$C$7,J117*J113*J93*J99*1000)</f>
        <v>8479314820.8430214</v>
      </c>
    </row>
    <row r="128" spans="5:11" x14ac:dyDescent="0.25">
      <c r="E128" s="56" t="s">
        <v>88</v>
      </c>
      <c r="F128" s="9"/>
      <c r="G128" s="57">
        <f>-PV($C$8,$C$7,G117*G112*G92*G98*1000)</f>
        <v>30565046.063232712</v>
      </c>
      <c r="H128" s="57">
        <f>-PV($C$8,$C$7,H117*H112*H92*H98*1000)</f>
        <v>41548642.622130804</v>
      </c>
      <c r="I128" s="57">
        <f>-PV($C$8,$C$7,I117*I112*I92*I98*1000)</f>
        <v>207743213.110654</v>
      </c>
      <c r="J128" s="57">
        <f>-PV($C$8,$C$7,J117*J112*J92*J98*1000)</f>
        <v>415486426.22130799</v>
      </c>
    </row>
    <row r="129" spans="5:10" x14ac:dyDescent="0.25">
      <c r="E129" s="96" t="s">
        <v>59</v>
      </c>
      <c r="F129" s="97" t="s">
        <v>11</v>
      </c>
      <c r="G129" s="58">
        <f>-PV($C$8+$C$10,$C$7,G92*G97*1000)-PV($C$8+$C$10,$C$7,G93*G99*1000)</f>
        <v>23892509.226003423</v>
      </c>
      <c r="H129" s="58">
        <f>-PV($C$8+$C$10,$C$7,H92*H97*1000)-PV($C$8+$C$10,$C$7,H93*H99*1000)</f>
        <v>47785018.452006847</v>
      </c>
      <c r="I129" s="58">
        <f>-PV($C$8+$C$10,$C$7,I92*I97*1000)-PV($C$8+$C$10,$C$7,I93*I99*1000)</f>
        <v>238925092.2600342</v>
      </c>
      <c r="J129" s="58">
        <f>-PV($C$8+$C$10,$C$7,J92*J97*1000)-PV($C$8+$C$10,$C$7,J93*J99*1000)</f>
        <v>477850184.52006841</v>
      </c>
    </row>
    <row r="130" spans="5:10" x14ac:dyDescent="0.25">
      <c r="E130" s="96" t="s">
        <v>86</v>
      </c>
      <c r="F130" s="97"/>
      <c r="G130" s="58">
        <f>-PV($C$8+$C$10,$C$7,G92*G98*1000)</f>
        <v>4550954.1382863652</v>
      </c>
      <c r="H130" s="58">
        <f>-PV($C$8+$C$10,$C$7,H92*H98*1000)</f>
        <v>9101908.2765727304</v>
      </c>
      <c r="I130" s="58">
        <f>-PV($C$8+$C$10,$C$7,I92*I98*1000)</f>
        <v>45509541.382863663</v>
      </c>
      <c r="J130" s="58">
        <f>-PV($C$8+$C$10,$C$7,J92*J98*1000)</f>
        <v>91019082.765727326</v>
      </c>
    </row>
    <row r="131" spans="5:10" x14ac:dyDescent="0.25">
      <c r="E131" s="98" t="s">
        <v>60</v>
      </c>
      <c r="F131" s="4" t="s">
        <v>2</v>
      </c>
      <c r="G131" s="59">
        <f t="shared" ref="G131:J131" si="25">SUM(G129:G130)</f>
        <v>28443463.36428979</v>
      </c>
      <c r="H131" s="59">
        <f t="shared" si="25"/>
        <v>56886926.728579581</v>
      </c>
      <c r="I131" s="59">
        <f t="shared" si="25"/>
        <v>284434633.64289784</v>
      </c>
      <c r="J131" s="59">
        <f t="shared" si="25"/>
        <v>568869267.28579569</v>
      </c>
    </row>
  </sheetData>
  <mergeCells count="3">
    <mergeCell ref="E4:J4"/>
    <mergeCell ref="E47:J47"/>
    <mergeCell ref="E90:J90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1"/>
  <sheetViews>
    <sheetView zoomScale="85" zoomScaleNormal="85" workbookViewId="0">
      <selection activeCell="G31" sqref="G31"/>
    </sheetView>
  </sheetViews>
  <sheetFormatPr baseColWidth="10" defaultRowHeight="15" x14ac:dyDescent="0.25"/>
  <cols>
    <col min="1" max="1" width="24.85546875" customWidth="1"/>
    <col min="2" max="2" width="10.140625" bestFit="1" customWidth="1"/>
    <col min="3" max="3" width="5.85546875" bestFit="1" customWidth="1"/>
    <col min="4" max="4" width="4.28515625" customWidth="1"/>
    <col min="5" max="5" width="30.7109375" customWidth="1"/>
    <col min="7" max="7" width="14.85546875" customWidth="1"/>
    <col min="8" max="8" width="17.85546875" customWidth="1"/>
    <col min="9" max="9" width="13.28515625" customWidth="1"/>
    <col min="10" max="10" width="13.42578125" customWidth="1"/>
    <col min="11" max="12" width="7" customWidth="1"/>
    <col min="13" max="14" width="7" style="99" customWidth="1"/>
  </cols>
  <sheetData>
    <row r="1" spans="1:14" x14ac:dyDescent="0.25">
      <c r="E1" t="s">
        <v>57</v>
      </c>
    </row>
    <row r="2" spans="1:14" x14ac:dyDescent="0.25">
      <c r="E2" s="252"/>
    </row>
    <row r="3" spans="1:14" ht="15.75" thickBot="1" x14ac:dyDescent="0.3">
      <c r="H3">
        <v>1</v>
      </c>
      <c r="I3">
        <v>5</v>
      </c>
      <c r="J3">
        <v>10</v>
      </c>
    </row>
    <row r="4" spans="1:14" ht="15.75" thickBot="1" x14ac:dyDescent="0.3">
      <c r="A4" s="10"/>
      <c r="B4" s="10" t="s">
        <v>21</v>
      </c>
      <c r="C4" s="11"/>
      <c r="E4" s="258" t="s">
        <v>94</v>
      </c>
      <c r="F4" s="259"/>
      <c r="G4" s="262"/>
      <c r="H4" s="262"/>
      <c r="I4" s="262"/>
      <c r="J4" s="263"/>
      <c r="K4" s="14"/>
      <c r="L4" s="14"/>
    </row>
    <row r="5" spans="1:14" x14ac:dyDescent="0.25">
      <c r="A5" s="10" t="s">
        <v>17</v>
      </c>
      <c r="B5" s="20" t="s">
        <v>16</v>
      </c>
      <c r="C5" s="20">
        <f>'[1]byggetid levetid rente'!$C$18</f>
        <v>0.5</v>
      </c>
      <c r="D5" s="13"/>
      <c r="E5" s="158"/>
      <c r="F5" s="160" t="s">
        <v>3</v>
      </c>
      <c r="G5" s="86"/>
      <c r="H5" s="85"/>
      <c r="I5" s="85"/>
      <c r="J5" s="88"/>
      <c r="K5" s="14"/>
      <c r="L5" s="14"/>
    </row>
    <row r="6" spans="1:14" ht="15.75" thickBot="1" x14ac:dyDescent="0.3">
      <c r="A6" s="10" t="s">
        <v>46</v>
      </c>
      <c r="B6" s="20" t="s">
        <v>16</v>
      </c>
      <c r="C6" s="20">
        <v>1</v>
      </c>
      <c r="D6" s="13"/>
      <c r="E6" s="159" t="s">
        <v>82</v>
      </c>
      <c r="F6" s="24" t="s">
        <v>23</v>
      </c>
      <c r="G6" s="150">
        <v>0.5</v>
      </c>
      <c r="H6" s="150">
        <v>1</v>
      </c>
      <c r="I6" s="150">
        <v>5</v>
      </c>
      <c r="J6" s="152">
        <v>10</v>
      </c>
      <c r="K6" s="17" t="s">
        <v>13</v>
      </c>
      <c r="L6" s="17" t="s">
        <v>12</v>
      </c>
      <c r="M6" s="100"/>
      <c r="N6" s="100"/>
    </row>
    <row r="7" spans="1:14" x14ac:dyDescent="0.25">
      <c r="A7" s="10" t="s">
        <v>18</v>
      </c>
      <c r="B7" s="20" t="s">
        <v>16</v>
      </c>
      <c r="C7" s="180">
        <f>'[1]byggetid levetid rente'!$C$45</f>
        <v>20</v>
      </c>
      <c r="D7" s="13"/>
      <c r="E7" s="169" t="s">
        <v>76</v>
      </c>
      <c r="F7" s="170"/>
      <c r="G7" s="171">
        <v>1</v>
      </c>
      <c r="H7" s="171">
        <v>2</v>
      </c>
      <c r="I7" s="171">
        <v>10</v>
      </c>
      <c r="J7" s="172">
        <v>20</v>
      </c>
      <c r="K7" s="17"/>
      <c r="L7" s="17"/>
      <c r="M7" s="100"/>
      <c r="N7" s="100"/>
    </row>
    <row r="8" spans="1:14" x14ac:dyDescent="0.25">
      <c r="A8" s="10" t="s">
        <v>50</v>
      </c>
      <c r="B8" s="20" t="s">
        <v>20</v>
      </c>
      <c r="C8" s="16">
        <f>'[1]byggetid levetid rente'!$D$43</f>
        <v>0.06</v>
      </c>
      <c r="D8" s="13"/>
      <c r="E8" s="41" t="s">
        <v>58</v>
      </c>
      <c r="F8" s="161"/>
      <c r="G8" s="140">
        <f t="shared" ref="G8:J8" si="0">G51+0.2</f>
        <v>3.4000000000000004</v>
      </c>
      <c r="H8" s="140">
        <f t="shared" si="0"/>
        <v>3.6</v>
      </c>
      <c r="I8" s="140">
        <f t="shared" si="0"/>
        <v>3.6</v>
      </c>
      <c r="J8" s="141">
        <f t="shared" si="0"/>
        <v>3.6</v>
      </c>
      <c r="K8" t="s">
        <v>99</v>
      </c>
    </row>
    <row r="9" spans="1:14" x14ac:dyDescent="0.25">
      <c r="A9" s="10" t="s">
        <v>51</v>
      </c>
      <c r="B9" s="20" t="s">
        <v>20</v>
      </c>
      <c r="C9" s="16">
        <f>'[1]byggetid levetid rente'!$D$44</f>
        <v>0.06</v>
      </c>
      <c r="D9" s="13"/>
      <c r="E9" s="29" t="s">
        <v>77</v>
      </c>
      <c r="F9" s="162"/>
      <c r="G9" s="33">
        <v>10</v>
      </c>
      <c r="H9" s="33">
        <v>10</v>
      </c>
      <c r="I9" s="33">
        <v>10</v>
      </c>
      <c r="J9" s="34">
        <v>10</v>
      </c>
      <c r="K9" t="s">
        <v>73</v>
      </c>
    </row>
    <row r="10" spans="1:14" x14ac:dyDescent="0.25">
      <c r="A10" s="10" t="s">
        <v>19</v>
      </c>
      <c r="B10" s="6" t="s">
        <v>22</v>
      </c>
      <c r="C10" s="16">
        <f>'[1]byggetid levetid rente'!$E$44</f>
        <v>1E-3</v>
      </c>
      <c r="D10" s="13"/>
      <c r="E10" s="165" t="s">
        <v>78</v>
      </c>
      <c r="F10" s="163"/>
      <c r="G10" s="148">
        <v>0.98</v>
      </c>
      <c r="H10" s="149">
        <v>0.98</v>
      </c>
      <c r="I10" s="149">
        <v>0.98</v>
      </c>
      <c r="J10" s="166">
        <v>0.98</v>
      </c>
      <c r="K10" t="s">
        <v>73</v>
      </c>
    </row>
    <row r="11" spans="1:14" x14ac:dyDescent="0.25">
      <c r="A11" s="10" t="str">
        <f>'[1]Brennverdier og priser'!$B$61</f>
        <v>Kraftpris</v>
      </c>
      <c r="B11" s="6" t="s">
        <v>1</v>
      </c>
      <c r="C11" s="15">
        <f>'[1]Brennverdier og priser'!$D$61</f>
        <v>23</v>
      </c>
      <c r="D11" s="13"/>
      <c r="E11" s="29" t="s">
        <v>79</v>
      </c>
      <c r="F11" s="75" t="s">
        <v>4</v>
      </c>
      <c r="G11" s="142">
        <v>4000</v>
      </c>
      <c r="H11" s="142">
        <v>4000</v>
      </c>
      <c r="I11" s="142">
        <v>4000</v>
      </c>
      <c r="J11" s="145">
        <v>4000</v>
      </c>
      <c r="K11" t="s">
        <v>73</v>
      </c>
    </row>
    <row r="12" spans="1:14" x14ac:dyDescent="0.25">
      <c r="A12" s="21" t="str">
        <f>'[1]Brennverdier og priser'!$B$62</f>
        <v>Nettleie husholdninger</v>
      </c>
      <c r="B12" s="6" t="s">
        <v>1</v>
      </c>
      <c r="C12" s="15">
        <f>'[1]Brennverdier og priser'!$D$62</f>
        <v>27.3</v>
      </c>
      <c r="D12" s="13"/>
      <c r="E12" s="29" t="s">
        <v>80</v>
      </c>
      <c r="F12" s="162"/>
      <c r="G12" s="144">
        <v>800</v>
      </c>
      <c r="H12" s="144">
        <v>800</v>
      </c>
      <c r="I12" s="144">
        <v>800</v>
      </c>
      <c r="J12" s="154">
        <v>800</v>
      </c>
      <c r="K12" t="s">
        <v>73</v>
      </c>
    </row>
    <row r="13" spans="1:14" x14ac:dyDescent="0.25">
      <c r="A13" s="21" t="str">
        <f>'[1]Brennverdier og priser'!$B$63</f>
        <v>Nettleie, anlegg over 150 kW</v>
      </c>
      <c r="B13" s="6" t="s">
        <v>1</v>
      </c>
      <c r="C13" s="15">
        <f>'[1]Brennverdier og priser'!$D$63</f>
        <v>21.8</v>
      </c>
      <c r="D13" s="6"/>
      <c r="E13" s="165" t="s">
        <v>81</v>
      </c>
      <c r="F13" s="163"/>
      <c r="G13" s="146">
        <v>200</v>
      </c>
      <c r="H13" s="146">
        <v>200</v>
      </c>
      <c r="I13" s="146">
        <v>200</v>
      </c>
      <c r="J13" s="167">
        <v>200</v>
      </c>
      <c r="K13" t="s">
        <v>101</v>
      </c>
    </row>
    <row r="14" spans="1:14" x14ac:dyDescent="0.25">
      <c r="A14" s="21" t="s">
        <v>37</v>
      </c>
      <c r="B14" s="6" t="s">
        <v>1</v>
      </c>
      <c r="C14" s="15">
        <f>'[1]CO2-avgift, grunnavgift'!$L$8</f>
        <v>16.32</v>
      </c>
      <c r="D14" s="6"/>
      <c r="E14" s="29" t="s">
        <v>5</v>
      </c>
      <c r="F14" s="91"/>
      <c r="G14" s="76"/>
      <c r="H14" s="75"/>
      <c r="I14" s="75"/>
      <c r="J14" s="78"/>
    </row>
    <row r="15" spans="1:14" x14ac:dyDescent="0.25">
      <c r="A15" s="21" t="s">
        <v>38</v>
      </c>
      <c r="B15" s="6" t="s">
        <v>1</v>
      </c>
      <c r="C15" s="12">
        <f>'[1]CO2-avgift, grunnavgift'!$M$9</f>
        <v>0.48</v>
      </c>
      <c r="D15" s="6"/>
      <c r="E15" s="30" t="s">
        <v>40</v>
      </c>
      <c r="F15" s="164" t="s">
        <v>41</v>
      </c>
      <c r="G15" s="208">
        <v>850000</v>
      </c>
      <c r="H15" s="142">
        <v>1500000</v>
      </c>
      <c r="I15" s="142">
        <v>7000000</v>
      </c>
      <c r="J15" s="145">
        <v>14000000</v>
      </c>
      <c r="K15" t="s">
        <v>52</v>
      </c>
    </row>
    <row r="16" spans="1:14" x14ac:dyDescent="0.25">
      <c r="A16" s="10" t="s">
        <v>36</v>
      </c>
      <c r="B16" s="6" t="s">
        <v>35</v>
      </c>
      <c r="C16" s="22">
        <f>'[1]byggetid levetid rente'!$C$1</f>
        <v>1.07973174366617</v>
      </c>
      <c r="D16" s="6"/>
      <c r="E16" s="30" t="s">
        <v>42</v>
      </c>
      <c r="F16" s="164" t="s">
        <v>43</v>
      </c>
      <c r="G16" s="209">
        <f>(3300*G6*1000)</f>
        <v>1650000</v>
      </c>
      <c r="H16" s="142">
        <f>(2160*H6*1000)</f>
        <v>2160000</v>
      </c>
      <c r="I16" s="142">
        <f>(2013*I6*1000)</f>
        <v>10065000</v>
      </c>
      <c r="J16" s="145">
        <f>(1870*J6*1000)</f>
        <v>18700000</v>
      </c>
      <c r="K16" t="s">
        <v>102</v>
      </c>
    </row>
    <row r="17" spans="1:12" x14ac:dyDescent="0.25">
      <c r="D17" s="6"/>
      <c r="E17" s="30" t="s">
        <v>91</v>
      </c>
      <c r="F17" s="19" t="s">
        <v>29</v>
      </c>
      <c r="G17" s="74">
        <f t="shared" ref="G17:J18" si="1">G15/(G$6*1000)</f>
        <v>1700</v>
      </c>
      <c r="H17" s="74">
        <f t="shared" si="1"/>
        <v>1500</v>
      </c>
      <c r="I17" s="74">
        <f t="shared" si="1"/>
        <v>1400</v>
      </c>
      <c r="J17" s="89">
        <f t="shared" si="1"/>
        <v>1400</v>
      </c>
    </row>
    <row r="18" spans="1:12" x14ac:dyDescent="0.25">
      <c r="D18" s="12"/>
      <c r="E18" s="30" t="s">
        <v>25</v>
      </c>
      <c r="F18" s="1" t="s">
        <v>29</v>
      </c>
      <c r="G18" s="74">
        <f t="shared" si="1"/>
        <v>3300</v>
      </c>
      <c r="H18" s="74">
        <f t="shared" si="1"/>
        <v>2160</v>
      </c>
      <c r="I18" s="74">
        <f t="shared" si="1"/>
        <v>2013</v>
      </c>
      <c r="J18" s="89">
        <f t="shared" si="1"/>
        <v>1870</v>
      </c>
    </row>
    <row r="19" spans="1:12" x14ac:dyDescent="0.25">
      <c r="A19" s="68" t="s">
        <v>47</v>
      </c>
      <c r="D19" s="12"/>
      <c r="E19" s="30" t="s">
        <v>93</v>
      </c>
      <c r="F19" s="1"/>
      <c r="G19" s="74">
        <v>4000</v>
      </c>
      <c r="H19" s="74">
        <v>2500</v>
      </c>
      <c r="I19" s="74">
        <v>1500</v>
      </c>
      <c r="J19" s="89">
        <v>2000</v>
      </c>
      <c r="K19" t="s">
        <v>103</v>
      </c>
    </row>
    <row r="20" spans="1:12" x14ac:dyDescent="0.25">
      <c r="A20" s="69" t="s">
        <v>56</v>
      </c>
      <c r="D20" s="12"/>
      <c r="E20" s="30" t="s">
        <v>61</v>
      </c>
      <c r="F20" s="1"/>
      <c r="G20" s="74">
        <v>800</v>
      </c>
      <c r="H20" s="74">
        <v>800</v>
      </c>
      <c r="I20" s="74">
        <v>800</v>
      </c>
      <c r="J20" s="89">
        <v>800</v>
      </c>
      <c r="K20" t="s">
        <v>103</v>
      </c>
    </row>
    <row r="21" spans="1:12" x14ac:dyDescent="0.25">
      <c r="A21" s="70" t="s">
        <v>48</v>
      </c>
      <c r="D21" s="12"/>
      <c r="E21" s="30" t="s">
        <v>62</v>
      </c>
      <c r="F21" s="1"/>
      <c r="G21" s="179">
        <v>1351</v>
      </c>
      <c r="H21" s="74">
        <v>1242</v>
      </c>
      <c r="I21" s="74">
        <v>911</v>
      </c>
      <c r="J21" s="89">
        <v>690</v>
      </c>
      <c r="K21" t="s">
        <v>103</v>
      </c>
    </row>
    <row r="22" spans="1:12" x14ac:dyDescent="0.25">
      <c r="D22" s="12"/>
      <c r="E22" s="3" t="s">
        <v>6</v>
      </c>
      <c r="F22" s="19" t="s">
        <v>29</v>
      </c>
      <c r="G22" s="35">
        <f>SUM(G17:G18)*(((1+($C$8))*((1+$C$8)^($C$5)-1))/($C$8*$C$5))-SUM(G17:G18)</f>
        <v>222.79915743699894</v>
      </c>
      <c r="H22" s="35">
        <f>SUM(H17:H18)*(((1+($C$9))*((1+$C$9)^($C$6)-1))/($C$9*$C$6))-SUM(H17:H18)</f>
        <v>219.60000000000355</v>
      </c>
      <c r="I22" s="35">
        <f>SUM(I17:I18)*(((1+($C$9))*((1+$C$9)^($C$6)-1))/($C$9*$C$6))-SUM(I17:I18)</f>
        <v>204.78000000000338</v>
      </c>
      <c r="J22" s="36">
        <f>SUM(J17:J18)*(((1+($C$9))*((1+$C$9)^($C$6)-1))/($C$9*$C$6))-SUM(J17:J18)</f>
        <v>196.200000000003</v>
      </c>
    </row>
    <row r="23" spans="1:12" x14ac:dyDescent="0.25">
      <c r="D23" s="12"/>
      <c r="E23" s="28" t="s">
        <v>7</v>
      </c>
      <c r="F23" s="2" t="s">
        <v>30</v>
      </c>
      <c r="G23" s="37">
        <f t="shared" ref="G23:J23" si="2">SUM(G17:G22)</f>
        <v>11373.799157436999</v>
      </c>
      <c r="H23" s="37">
        <f t="shared" si="2"/>
        <v>8421.600000000004</v>
      </c>
      <c r="I23" s="37">
        <f t="shared" si="2"/>
        <v>6828.7800000000034</v>
      </c>
      <c r="J23" s="38">
        <f t="shared" si="2"/>
        <v>6956.2000000000025</v>
      </c>
    </row>
    <row r="24" spans="1:12" x14ac:dyDescent="0.25">
      <c r="E24" s="28" t="s">
        <v>0</v>
      </c>
      <c r="F24" s="2" t="s">
        <v>31</v>
      </c>
      <c r="G24" s="63">
        <v>40</v>
      </c>
      <c r="H24" s="63">
        <v>40</v>
      </c>
      <c r="I24" s="63">
        <v>30</v>
      </c>
      <c r="J24" s="65">
        <v>30</v>
      </c>
      <c r="K24" t="s">
        <v>103</v>
      </c>
      <c r="L24" s="155"/>
    </row>
    <row r="25" spans="1:12" x14ac:dyDescent="0.25">
      <c r="E25" s="30" t="s">
        <v>83</v>
      </c>
      <c r="F25" s="1" t="s">
        <v>34</v>
      </c>
      <c r="G25" s="39">
        <f t="shared" ref="G25:J27" si="3">1/G8</f>
        <v>0.29411764705882348</v>
      </c>
      <c r="H25" s="39">
        <f t="shared" si="3"/>
        <v>0.27777777777777779</v>
      </c>
      <c r="I25" s="39">
        <f t="shared" si="3"/>
        <v>0.27777777777777779</v>
      </c>
      <c r="J25" s="40">
        <f t="shared" si="3"/>
        <v>0.27777777777777779</v>
      </c>
    </row>
    <row r="26" spans="1:12" x14ac:dyDescent="0.25">
      <c r="E26" s="30" t="s">
        <v>84</v>
      </c>
      <c r="F26" s="1"/>
      <c r="G26" s="153">
        <f t="shared" si="3"/>
        <v>0.1</v>
      </c>
      <c r="H26" s="153">
        <f t="shared" si="3"/>
        <v>0.1</v>
      </c>
      <c r="I26" s="153">
        <f t="shared" si="3"/>
        <v>0.1</v>
      </c>
      <c r="J26" s="168">
        <f t="shared" si="3"/>
        <v>0.1</v>
      </c>
    </row>
    <row r="27" spans="1:12" x14ac:dyDescent="0.25">
      <c r="E27" s="30" t="s">
        <v>85</v>
      </c>
      <c r="F27" s="1"/>
      <c r="G27" s="153">
        <f t="shared" si="3"/>
        <v>1.0204081632653061</v>
      </c>
      <c r="H27" s="153">
        <f t="shared" si="3"/>
        <v>1.0204081632653061</v>
      </c>
      <c r="I27" s="153">
        <f t="shared" si="3"/>
        <v>1.0204081632653061</v>
      </c>
      <c r="J27" s="168">
        <f t="shared" si="3"/>
        <v>1.0204081632653061</v>
      </c>
    </row>
    <row r="28" spans="1:12" x14ac:dyDescent="0.25">
      <c r="E28" s="30" t="s">
        <v>26</v>
      </c>
      <c r="F28" s="1" t="s">
        <v>32</v>
      </c>
      <c r="G28" s="79">
        <f>$C$11</f>
        <v>23</v>
      </c>
      <c r="H28" s="79">
        <f>$C$11</f>
        <v>23</v>
      </c>
      <c r="I28" s="79">
        <f>$C$11</f>
        <v>23</v>
      </c>
      <c r="J28" s="80">
        <f>$C$11</f>
        <v>23</v>
      </c>
    </row>
    <row r="29" spans="1:12" x14ac:dyDescent="0.25">
      <c r="E29" s="30" t="s">
        <v>27</v>
      </c>
      <c r="F29" s="1" t="s">
        <v>32</v>
      </c>
      <c r="G29" s="81">
        <f>$C$12</f>
        <v>27.3</v>
      </c>
      <c r="H29" s="81">
        <f>$C$13</f>
        <v>21.8</v>
      </c>
      <c r="I29" s="81">
        <f>$C$13</f>
        <v>21.8</v>
      </c>
      <c r="J29" s="82">
        <f>$C$13</f>
        <v>21.8</v>
      </c>
    </row>
    <row r="30" spans="1:12" x14ac:dyDescent="0.25">
      <c r="E30" s="30" t="s">
        <v>28</v>
      </c>
      <c r="F30" s="1" t="s">
        <v>32</v>
      </c>
      <c r="G30" s="81">
        <f>$C$14</f>
        <v>16.32</v>
      </c>
      <c r="H30" s="81">
        <f>$C$15</f>
        <v>0.48</v>
      </c>
      <c r="I30" s="81">
        <f>$C$15</f>
        <v>0.48</v>
      </c>
      <c r="J30" s="82">
        <f>$C$15</f>
        <v>0.48</v>
      </c>
    </row>
    <row r="31" spans="1:12" x14ac:dyDescent="0.25">
      <c r="E31" s="29" t="s">
        <v>89</v>
      </c>
      <c r="F31" s="1" t="s">
        <v>32</v>
      </c>
      <c r="G31" s="66">
        <f t="shared" ref="G31:J31" si="4">(G29+G28+G30)</f>
        <v>66.62</v>
      </c>
      <c r="H31" s="66">
        <f t="shared" si="4"/>
        <v>45.279999999999994</v>
      </c>
      <c r="I31" s="66">
        <f t="shared" si="4"/>
        <v>45.279999999999994</v>
      </c>
      <c r="J31" s="67">
        <f t="shared" si="4"/>
        <v>45.279999999999994</v>
      </c>
    </row>
    <row r="32" spans="1:12" ht="15.75" thickBot="1" x14ac:dyDescent="0.3">
      <c r="E32" s="41" t="s">
        <v>8</v>
      </c>
      <c r="F32" s="42" t="s">
        <v>33</v>
      </c>
      <c r="G32" s="156">
        <v>1.5</v>
      </c>
      <c r="H32" s="156">
        <v>1.5</v>
      </c>
      <c r="I32" s="156">
        <v>1.3</v>
      </c>
      <c r="J32" s="176">
        <v>1.2</v>
      </c>
      <c r="K32" t="s">
        <v>103</v>
      </c>
    </row>
    <row r="33" spans="5:12" x14ac:dyDescent="0.25">
      <c r="E33" s="43" t="s">
        <v>14</v>
      </c>
      <c r="F33" s="44" t="s">
        <v>33</v>
      </c>
      <c r="G33" s="45">
        <f>(G38+G39+G40+G41+G42)/G45</f>
        <v>42.663401521968865</v>
      </c>
      <c r="H33" s="45">
        <f t="shared" ref="H33:J33" si="5">(H38+H39+H40+H41+H42)/H45</f>
        <v>30.212687305659966</v>
      </c>
      <c r="I33" s="45">
        <f t="shared" si="5"/>
        <v>27.171433964964177</v>
      </c>
      <c r="J33" s="45">
        <f t="shared" si="5"/>
        <v>27.309258512128494</v>
      </c>
    </row>
    <row r="34" spans="5:12" x14ac:dyDescent="0.25">
      <c r="E34" s="46" t="s">
        <v>44</v>
      </c>
      <c r="F34" s="47"/>
      <c r="G34" s="178">
        <v>0.8</v>
      </c>
      <c r="H34" s="178">
        <v>0.8</v>
      </c>
      <c r="I34" s="178">
        <v>0.8</v>
      </c>
      <c r="J34" s="178">
        <v>0.8</v>
      </c>
    </row>
    <row r="35" spans="5:12" ht="15.75" thickBot="1" x14ac:dyDescent="0.3">
      <c r="E35" s="48" t="s">
        <v>15</v>
      </c>
      <c r="F35" s="49" t="s">
        <v>33</v>
      </c>
      <c r="G35" s="5">
        <f t="shared" ref="G35:J35" si="6">G33*G34</f>
        <v>34.130721217575093</v>
      </c>
      <c r="H35" s="5">
        <f t="shared" si="6"/>
        <v>24.170149844527973</v>
      </c>
      <c r="I35" s="5">
        <f t="shared" si="6"/>
        <v>21.737147171971344</v>
      </c>
      <c r="J35" s="18">
        <f t="shared" si="6"/>
        <v>21.847406809702797</v>
      </c>
    </row>
    <row r="36" spans="5:12" x14ac:dyDescent="0.25">
      <c r="G36" s="7"/>
      <c r="H36" s="7"/>
      <c r="I36" s="7"/>
      <c r="J36" s="7"/>
    </row>
    <row r="37" spans="5:12" x14ac:dyDescent="0.25">
      <c r="E37" s="50" t="s">
        <v>9</v>
      </c>
      <c r="F37" s="51"/>
      <c r="G37" s="53"/>
      <c r="H37" s="53"/>
      <c r="I37" s="53"/>
      <c r="J37" s="53"/>
    </row>
    <row r="38" spans="5:12" x14ac:dyDescent="0.25">
      <c r="E38" s="54" t="str">
        <f>E14</f>
        <v>Investeringskostnader</v>
      </c>
      <c r="F38" s="8" t="s">
        <v>10</v>
      </c>
      <c r="G38" s="55">
        <f t="shared" ref="G38:J38" si="7">G23*100*1000*G6</f>
        <v>568689957.87185001</v>
      </c>
      <c r="H38" s="55">
        <f t="shared" si="7"/>
        <v>842160000.00000036</v>
      </c>
      <c r="I38" s="55">
        <f t="shared" si="7"/>
        <v>3414390000.0000019</v>
      </c>
      <c r="J38" s="55">
        <f t="shared" si="7"/>
        <v>6956200000.0000019</v>
      </c>
    </row>
    <row r="39" spans="5:12" x14ac:dyDescent="0.25">
      <c r="E39" s="56" t="str">
        <f>E24</f>
        <v>Faste driftskostnader</v>
      </c>
      <c r="F39" s="9" t="s">
        <v>10</v>
      </c>
      <c r="G39" s="57">
        <f>-PV($C$8,$C$7,G24*100*1000*G6)</f>
        <v>22939842.437130526</v>
      </c>
      <c r="H39" s="57">
        <f>-PV($C$8,$C$7,H24*100*1000*H6)</f>
        <v>45879684.874261051</v>
      </c>
      <c r="I39" s="57">
        <f>-PV($C$8,$C$7,I24*100*1000*I6)</f>
        <v>172048818.27847895</v>
      </c>
      <c r="J39" s="57">
        <f>-PV($C$8,$C$7,J24*100*1000*J6)</f>
        <v>344097636.5569579</v>
      </c>
    </row>
    <row r="40" spans="5:12" x14ac:dyDescent="0.25">
      <c r="E40" s="56" t="str">
        <f>E32</f>
        <v>Variable kostnader eks brensel</v>
      </c>
      <c r="F40" s="9" t="s">
        <v>10</v>
      </c>
      <c r="G40" s="57">
        <f>-PV($C$8,$C$7,G32*1000*G6*G11)</f>
        <v>34409763.655695789</v>
      </c>
      <c r="H40" s="57">
        <f>-PV($C$8,$C$7,H32*1000*H6*H11)</f>
        <v>68819527.311391577</v>
      </c>
      <c r="I40" s="57">
        <f>-PV($C$8,$C$7,I32*1000*I6*I11)</f>
        <v>298217951.68269682</v>
      </c>
      <c r="J40" s="57">
        <f>-PV($C$8,$C$7,J32*1000*J6*J11)</f>
        <v>550556218.49113262</v>
      </c>
    </row>
    <row r="41" spans="5:12" x14ac:dyDescent="0.25">
      <c r="E41" s="56" t="s">
        <v>87</v>
      </c>
      <c r="F41" s="9" t="s">
        <v>10</v>
      </c>
      <c r="G41" s="57">
        <f>-PV($C$8,$C$7,G31*G25*G6*G11*1000)-PV($C$8,$C$7,G31*G27*G7*G13*1000)</f>
        <v>605430084.08564198</v>
      </c>
      <c r="H41" s="57">
        <f>-PV($C$8,$C$7,H31*H25*H6*H11*1000)-PV($C$8,$C$7,H31*H27*H7*H13*1000)</f>
        <v>789047351.3840034</v>
      </c>
      <c r="I41" s="57">
        <f>-PV($C$8,$C$7,I31*I25*I6*I11*1000)-PV($C$8,$C$7,I31*I27*I7*I13*1000)</f>
        <v>3945236756.9200168</v>
      </c>
      <c r="J41" s="57">
        <f>-PV($C$8,$C$7,J31*J25*J6*J11*1000)-PV($C$8,$C$7,J31*J27*J7*J13*1000)</f>
        <v>7890473513.8400335</v>
      </c>
    </row>
    <row r="42" spans="5:12" x14ac:dyDescent="0.25">
      <c r="E42" s="56" t="s">
        <v>88</v>
      </c>
      <c r="F42" s="9"/>
      <c r="G42" s="57">
        <f>-PV($C$8,$C$7,G31*G26*G6*G12*1000)</f>
        <v>30565046.063232712</v>
      </c>
      <c r="H42" s="57">
        <f>-PV($C$8,$C$7,H31*H26*H6*H12*1000)</f>
        <v>41548642.622130804</v>
      </c>
      <c r="I42" s="57">
        <f>-PV($C$8,$C$7,I31*I26*I6*I12*1000)</f>
        <v>207743213.110654</v>
      </c>
      <c r="J42" s="57">
        <f>-PV($C$8,$C$7,J31*J26*J6*J12*1000)</f>
        <v>415486426.22130799</v>
      </c>
    </row>
    <row r="43" spans="5:12" x14ac:dyDescent="0.25">
      <c r="E43" s="96" t="s">
        <v>59</v>
      </c>
      <c r="F43" s="97" t="s">
        <v>11</v>
      </c>
      <c r="G43" s="58">
        <f>-PV($C$8+$C$10,$C$7,G6*G11*1000)-PV($C$8+$C$10,$C$7,G7*G13*1000)</f>
        <v>25030247.760575015</v>
      </c>
      <c r="H43" s="58">
        <f>-PV($C$8+$C$10,$C$7,H6*H11*1000)-PV($C$8+$C$10,$C$7,H7*H13*1000)</f>
        <v>50060495.52115003</v>
      </c>
      <c r="I43" s="58">
        <f>-PV($C$8+$C$10,$C$7,I6*I11*1000)-PV($C$8+$C$10,$C$7,I7*I13*1000)</f>
        <v>250302477.60575011</v>
      </c>
      <c r="J43" s="58">
        <f>-PV($C$8+$C$10,$C$7,J6*J11*1000)-PV($C$8+$C$10,$C$7,J7*J13*1000)</f>
        <v>500604955.21150023</v>
      </c>
    </row>
    <row r="44" spans="5:12" x14ac:dyDescent="0.25">
      <c r="E44" s="96" t="s">
        <v>86</v>
      </c>
      <c r="F44" s="97"/>
      <c r="G44" s="58">
        <f>-PV($C$8+$C$10,$C$7,G6*G12*1000)</f>
        <v>4550954.1382863652</v>
      </c>
      <c r="H44" s="58">
        <f>-PV($C$8+$C$10,$C$7,H6*H12*1000)</f>
        <v>9101908.2765727304</v>
      </c>
      <c r="I44" s="58">
        <f>-PV($C$8+$C$10,$C$7,I6*I12*1000)</f>
        <v>45509541.382863663</v>
      </c>
      <c r="J44" s="58">
        <f>-PV($C$8+$C$10,$C$7,J6*J12*1000)</f>
        <v>91019082.765727326</v>
      </c>
    </row>
    <row r="45" spans="5:12" x14ac:dyDescent="0.25">
      <c r="E45" s="98" t="s">
        <v>60</v>
      </c>
      <c r="F45" s="4" t="s">
        <v>2</v>
      </c>
      <c r="G45" s="59">
        <f t="shared" ref="G45:J45" si="8">SUM(G43:G44)</f>
        <v>29581201.898861378</v>
      </c>
      <c r="H45" s="59">
        <f t="shared" si="8"/>
        <v>59162403.797722757</v>
      </c>
      <c r="I45" s="59">
        <f t="shared" si="8"/>
        <v>295812018.98861378</v>
      </c>
      <c r="J45" s="59">
        <f t="shared" si="8"/>
        <v>591624037.97722757</v>
      </c>
    </row>
    <row r="46" spans="5:12" ht="15.75" thickBot="1" x14ac:dyDescent="0.3"/>
    <row r="47" spans="5:12" ht="15.75" thickBot="1" x14ac:dyDescent="0.3">
      <c r="E47" s="258" t="s">
        <v>95</v>
      </c>
      <c r="F47" s="259"/>
      <c r="G47" s="262"/>
      <c r="H47" s="262"/>
      <c r="I47" s="262"/>
      <c r="J47" s="263"/>
      <c r="K47" s="14"/>
      <c r="L47" s="14"/>
    </row>
    <row r="48" spans="5:12" x14ac:dyDescent="0.25">
      <c r="E48" s="83"/>
      <c r="F48" s="84" t="s">
        <v>3</v>
      </c>
      <c r="G48" s="210"/>
      <c r="H48" s="211"/>
      <c r="I48" s="211"/>
      <c r="J48" s="212"/>
      <c r="K48" s="14"/>
      <c r="L48" s="14"/>
    </row>
    <row r="49" spans="5:14" x14ac:dyDescent="0.25">
      <c r="E49" s="23" t="s">
        <v>82</v>
      </c>
      <c r="F49" s="24" t="s">
        <v>23</v>
      </c>
      <c r="G49" s="213">
        <v>0.5</v>
      </c>
      <c r="H49" s="213">
        <v>1</v>
      </c>
      <c r="I49" s="213">
        <v>5</v>
      </c>
      <c r="J49" s="214">
        <v>10</v>
      </c>
      <c r="K49" s="17" t="s">
        <v>13</v>
      </c>
      <c r="L49" s="17" t="s">
        <v>12</v>
      </c>
    </row>
    <row r="50" spans="5:14" x14ac:dyDescent="0.25">
      <c r="E50" s="147" t="s">
        <v>76</v>
      </c>
      <c r="F50" s="161"/>
      <c r="G50" s="140">
        <v>1</v>
      </c>
      <c r="H50" s="140">
        <v>2</v>
      </c>
      <c r="I50" s="140">
        <v>10</v>
      </c>
      <c r="J50" s="141">
        <v>20</v>
      </c>
      <c r="K50" s="17"/>
      <c r="L50" s="17"/>
    </row>
    <row r="51" spans="5:14" x14ac:dyDescent="0.25">
      <c r="E51" s="41" t="s">
        <v>58</v>
      </c>
      <c r="F51" s="161"/>
      <c r="G51" s="140">
        <v>3.2</v>
      </c>
      <c r="H51" s="140">
        <v>3.4</v>
      </c>
      <c r="I51" s="140">
        <v>3.4</v>
      </c>
      <c r="J51" s="141">
        <v>3.4</v>
      </c>
    </row>
    <row r="52" spans="5:14" x14ac:dyDescent="0.25">
      <c r="E52" s="29" t="s">
        <v>77</v>
      </c>
      <c r="F52" s="162"/>
      <c r="G52" s="33">
        <v>10</v>
      </c>
      <c r="H52" s="33">
        <v>10</v>
      </c>
      <c r="I52" s="33">
        <v>10</v>
      </c>
      <c r="J52" s="34">
        <v>10</v>
      </c>
    </row>
    <row r="53" spans="5:14" x14ac:dyDescent="0.25">
      <c r="E53" s="165" t="s">
        <v>78</v>
      </c>
      <c r="F53" s="163"/>
      <c r="G53" s="148">
        <v>0.98</v>
      </c>
      <c r="H53" s="149">
        <v>0.98</v>
      </c>
      <c r="I53" s="149">
        <v>0.98</v>
      </c>
      <c r="J53" s="166">
        <v>0.98</v>
      </c>
    </row>
    <row r="54" spans="5:14" x14ac:dyDescent="0.25">
      <c r="E54" s="29" t="s">
        <v>79</v>
      </c>
      <c r="F54" s="75" t="s">
        <v>4</v>
      </c>
      <c r="G54" s="142">
        <v>4000</v>
      </c>
      <c r="H54" s="142">
        <v>4000</v>
      </c>
      <c r="I54" s="142">
        <v>4000</v>
      </c>
      <c r="J54" s="145">
        <v>4000</v>
      </c>
      <c r="K54" t="s">
        <v>45</v>
      </c>
    </row>
    <row r="55" spans="5:14" x14ac:dyDescent="0.25">
      <c r="E55" s="29" t="s">
        <v>80</v>
      </c>
      <c r="F55" s="162"/>
      <c r="G55" s="144">
        <v>800</v>
      </c>
      <c r="H55" s="144">
        <v>800</v>
      </c>
      <c r="I55" s="144">
        <v>800</v>
      </c>
      <c r="J55" s="154">
        <v>800</v>
      </c>
    </row>
    <row r="56" spans="5:14" x14ac:dyDescent="0.25">
      <c r="E56" s="165" t="s">
        <v>81</v>
      </c>
      <c r="F56" s="163"/>
      <c r="G56" s="146">
        <v>200</v>
      </c>
      <c r="H56" s="146">
        <v>200</v>
      </c>
      <c r="I56" s="146">
        <v>200</v>
      </c>
      <c r="J56" s="167">
        <v>200</v>
      </c>
    </row>
    <row r="57" spans="5:14" x14ac:dyDescent="0.25">
      <c r="E57" s="29" t="s">
        <v>5</v>
      </c>
      <c r="F57" s="91"/>
      <c r="G57" s="92"/>
      <c r="H57" s="75"/>
      <c r="I57" s="75"/>
      <c r="J57" s="78"/>
      <c r="M57" s="100"/>
      <c r="N57" s="100"/>
    </row>
    <row r="58" spans="5:14" x14ac:dyDescent="0.25">
      <c r="E58" s="30" t="s">
        <v>40</v>
      </c>
      <c r="F58" s="164" t="s">
        <v>41</v>
      </c>
      <c r="G58" s="208">
        <v>850000</v>
      </c>
      <c r="H58" s="142">
        <v>1500000</v>
      </c>
      <c r="I58" s="142">
        <v>7000000</v>
      </c>
      <c r="J58" s="145">
        <v>14000000</v>
      </c>
      <c r="K58" t="s">
        <v>111</v>
      </c>
      <c r="L58" t="s">
        <v>112</v>
      </c>
    </row>
    <row r="59" spans="5:14" x14ac:dyDescent="0.25">
      <c r="E59" s="30" t="s">
        <v>42</v>
      </c>
      <c r="F59" s="164" t="s">
        <v>43</v>
      </c>
      <c r="G59" s="209">
        <f>(3300*G49*1000)</f>
        <v>1650000</v>
      </c>
      <c r="H59" s="142">
        <f>(2160*H49*1000)</f>
        <v>2160000</v>
      </c>
      <c r="I59" s="142">
        <f>(2013*I49*1000)</f>
        <v>10065000</v>
      </c>
      <c r="J59" s="145">
        <f>(1870*J49*1000)</f>
        <v>18700000</v>
      </c>
      <c r="K59" t="s">
        <v>102</v>
      </c>
    </row>
    <row r="60" spans="5:14" x14ac:dyDescent="0.25">
      <c r="E60" s="30" t="s">
        <v>91</v>
      </c>
      <c r="F60" s="19" t="s">
        <v>29</v>
      </c>
      <c r="G60" s="90">
        <f t="shared" ref="G60:J61" si="9">G58/(G$6*1000)</f>
        <v>1700</v>
      </c>
      <c r="H60" s="74">
        <f t="shared" si="9"/>
        <v>1500</v>
      </c>
      <c r="I60" s="74">
        <f t="shared" si="9"/>
        <v>1400</v>
      </c>
      <c r="J60" s="89">
        <f t="shared" si="9"/>
        <v>1400</v>
      </c>
    </row>
    <row r="61" spans="5:14" x14ac:dyDescent="0.25">
      <c r="E61" s="30" t="s">
        <v>25</v>
      </c>
      <c r="F61" s="1" t="s">
        <v>29</v>
      </c>
      <c r="G61" s="90">
        <f t="shared" si="9"/>
        <v>3300</v>
      </c>
      <c r="H61" s="74">
        <f t="shared" si="9"/>
        <v>2160</v>
      </c>
      <c r="I61" s="74">
        <f t="shared" si="9"/>
        <v>2013</v>
      </c>
      <c r="J61" s="89">
        <f t="shared" si="9"/>
        <v>1870</v>
      </c>
    </row>
    <row r="62" spans="5:14" x14ac:dyDescent="0.25">
      <c r="E62" s="30" t="s">
        <v>93</v>
      </c>
      <c r="F62" s="1"/>
      <c r="G62" s="74">
        <v>4000</v>
      </c>
      <c r="H62" s="74">
        <v>2500</v>
      </c>
      <c r="I62" s="74">
        <v>1500</v>
      </c>
      <c r="J62" s="89">
        <v>2000</v>
      </c>
      <c r="K62" t="s">
        <v>103</v>
      </c>
    </row>
    <row r="63" spans="5:14" x14ac:dyDescent="0.25">
      <c r="E63" s="30" t="s">
        <v>61</v>
      </c>
      <c r="F63" s="1"/>
      <c r="G63" s="74">
        <v>800</v>
      </c>
      <c r="H63" s="74">
        <v>800</v>
      </c>
      <c r="I63" s="74">
        <v>800</v>
      </c>
      <c r="J63" s="89">
        <v>800</v>
      </c>
      <c r="K63" t="s">
        <v>103</v>
      </c>
    </row>
    <row r="64" spans="5:14" x14ac:dyDescent="0.25">
      <c r="E64" s="30" t="s">
        <v>62</v>
      </c>
      <c r="F64" s="1"/>
      <c r="G64" s="179">
        <v>1351</v>
      </c>
      <c r="H64" s="74">
        <v>1242</v>
      </c>
      <c r="I64" s="74">
        <v>911</v>
      </c>
      <c r="J64" s="89">
        <v>690</v>
      </c>
      <c r="K64" t="s">
        <v>103</v>
      </c>
    </row>
    <row r="65" spans="5:14" x14ac:dyDescent="0.25">
      <c r="E65" s="3" t="s">
        <v>6</v>
      </c>
      <c r="F65" s="19" t="s">
        <v>29</v>
      </c>
      <c r="G65" s="35">
        <f>SUM(G60:G61)*(((1+($C$8))*((1+$C$8)^($C$5)-1))/($C$8*$C$5))-SUM(G60:G61)</f>
        <v>222.79915743699894</v>
      </c>
      <c r="H65" s="35">
        <f>SUM(H60:H61)*(((1+($C$8))*((1+$C$8)^($C$5)-1))/($C$8*$C$5))-SUM(H60:H61)</f>
        <v>163.08898324388338</v>
      </c>
      <c r="I65" s="35">
        <f>SUM(I60:I61)*(((1+($C$8))*((1+$C$8)^($C$5)-1))/($C$8*$C$5))-SUM(I60:I61)</f>
        <v>152.08270486649553</v>
      </c>
      <c r="J65" s="36">
        <f>SUM(J60:J61)*(((1+($C$8))*((1+$C$8)^($C$5)-1))/($C$8*$C$5))-SUM(J60:J61)</f>
        <v>145.71064896379767</v>
      </c>
    </row>
    <row r="66" spans="5:14" x14ac:dyDescent="0.25">
      <c r="E66" s="28" t="s">
        <v>7</v>
      </c>
      <c r="F66" s="2" t="s">
        <v>30</v>
      </c>
      <c r="G66" s="37">
        <f t="shared" ref="G66:J66" si="10">SUM(G60:G65)</f>
        <v>11373.799157436999</v>
      </c>
      <c r="H66" s="37">
        <f t="shared" si="10"/>
        <v>8365.0889832438843</v>
      </c>
      <c r="I66" s="37">
        <f t="shared" si="10"/>
        <v>6776.082704866496</v>
      </c>
      <c r="J66" s="38">
        <f t="shared" si="10"/>
        <v>6905.7106489637972</v>
      </c>
      <c r="L66" s="73">
        <f>14782*150</f>
        <v>2217300</v>
      </c>
    </row>
    <row r="67" spans="5:14" x14ac:dyDescent="0.25">
      <c r="E67" s="28" t="s">
        <v>0</v>
      </c>
      <c r="F67" s="2" t="s">
        <v>31</v>
      </c>
      <c r="G67" s="63">
        <v>40</v>
      </c>
      <c r="H67" s="63">
        <v>40</v>
      </c>
      <c r="I67" s="63">
        <v>30</v>
      </c>
      <c r="J67" s="65">
        <v>30</v>
      </c>
      <c r="K67" t="s">
        <v>103</v>
      </c>
    </row>
    <row r="68" spans="5:14" x14ac:dyDescent="0.25">
      <c r="E68" s="30" t="s">
        <v>83</v>
      </c>
      <c r="F68" s="1" t="s">
        <v>34</v>
      </c>
      <c r="G68" s="39">
        <f t="shared" ref="G68:J70" si="11">1/G51</f>
        <v>0.3125</v>
      </c>
      <c r="H68" s="39">
        <f t="shared" si="11"/>
        <v>0.29411764705882354</v>
      </c>
      <c r="I68" s="39">
        <f t="shared" si="11"/>
        <v>0.29411764705882354</v>
      </c>
      <c r="J68" s="40">
        <f t="shared" si="11"/>
        <v>0.29411764705882354</v>
      </c>
    </row>
    <row r="69" spans="5:14" x14ac:dyDescent="0.25">
      <c r="E69" s="30" t="s">
        <v>84</v>
      </c>
      <c r="F69" s="1"/>
      <c r="G69" s="153">
        <f t="shared" si="11"/>
        <v>0.1</v>
      </c>
      <c r="H69" s="153">
        <f t="shared" si="11"/>
        <v>0.1</v>
      </c>
      <c r="I69" s="153">
        <f t="shared" si="11"/>
        <v>0.1</v>
      </c>
      <c r="J69" s="168">
        <f t="shared" si="11"/>
        <v>0.1</v>
      </c>
    </row>
    <row r="70" spans="5:14" x14ac:dyDescent="0.25">
      <c r="E70" s="30" t="s">
        <v>85</v>
      </c>
      <c r="F70" s="1"/>
      <c r="G70" s="153">
        <f t="shared" si="11"/>
        <v>1.0204081632653061</v>
      </c>
      <c r="H70" s="153">
        <f t="shared" si="11"/>
        <v>1.0204081632653061</v>
      </c>
      <c r="I70" s="153">
        <f t="shared" si="11"/>
        <v>1.0204081632653061</v>
      </c>
      <c r="J70" s="168">
        <f t="shared" si="11"/>
        <v>1.0204081632653061</v>
      </c>
    </row>
    <row r="71" spans="5:14" x14ac:dyDescent="0.25">
      <c r="E71" s="30" t="s">
        <v>26</v>
      </c>
      <c r="F71" s="1" t="s">
        <v>32</v>
      </c>
      <c r="G71" s="79">
        <f>$C$11</f>
        <v>23</v>
      </c>
      <c r="H71" s="79">
        <f>$C$11</f>
        <v>23</v>
      </c>
      <c r="I71" s="79">
        <f>$C$11</f>
        <v>23</v>
      </c>
      <c r="J71" s="80">
        <f>$C$11</f>
        <v>23</v>
      </c>
      <c r="M71" s="73"/>
      <c r="N71" s="73"/>
    </row>
    <row r="72" spans="5:14" x14ac:dyDescent="0.25">
      <c r="E72" s="30" t="s">
        <v>27</v>
      </c>
      <c r="F72" s="1" t="s">
        <v>32</v>
      </c>
      <c r="G72" s="81">
        <f>$C$12</f>
        <v>27.3</v>
      </c>
      <c r="H72" s="81">
        <f>$C$13</f>
        <v>21.8</v>
      </c>
      <c r="I72" s="81">
        <f>$C$13</f>
        <v>21.8</v>
      </c>
      <c r="J72" s="82">
        <f>$C$13</f>
        <v>21.8</v>
      </c>
    </row>
    <row r="73" spans="5:14" x14ac:dyDescent="0.25">
      <c r="E73" s="30" t="s">
        <v>28</v>
      </c>
      <c r="F73" s="1" t="s">
        <v>32</v>
      </c>
      <c r="G73" s="81">
        <f>$C$14</f>
        <v>16.32</v>
      </c>
      <c r="H73" s="93">
        <f>$C$15</f>
        <v>0.48</v>
      </c>
      <c r="I73" s="93">
        <f>$C$15</f>
        <v>0.48</v>
      </c>
      <c r="J73" s="94">
        <f>$C$15</f>
        <v>0.48</v>
      </c>
    </row>
    <row r="74" spans="5:14" x14ac:dyDescent="0.25">
      <c r="E74" s="29" t="s">
        <v>89</v>
      </c>
      <c r="F74" s="1" t="s">
        <v>32</v>
      </c>
      <c r="G74" s="66">
        <f t="shared" ref="G74:J74" si="12">(G72+G71+G73)</f>
        <v>66.62</v>
      </c>
      <c r="H74" s="66">
        <f t="shared" si="12"/>
        <v>45.279999999999994</v>
      </c>
      <c r="I74" s="66">
        <f t="shared" si="12"/>
        <v>45.279999999999994</v>
      </c>
      <c r="J74" s="67">
        <f t="shared" si="12"/>
        <v>45.279999999999994</v>
      </c>
    </row>
    <row r="75" spans="5:14" ht="15.75" thickBot="1" x14ac:dyDescent="0.3">
      <c r="E75" s="41" t="s">
        <v>8</v>
      </c>
      <c r="F75" s="42" t="s">
        <v>33</v>
      </c>
      <c r="G75" s="156">
        <v>1.5</v>
      </c>
      <c r="H75" s="156">
        <v>1.5</v>
      </c>
      <c r="I75" s="156">
        <v>1.3</v>
      </c>
      <c r="J75" s="176">
        <v>1.2</v>
      </c>
      <c r="K75" t="s">
        <v>103</v>
      </c>
    </row>
    <row r="76" spans="5:14" x14ac:dyDescent="0.25">
      <c r="E76" s="43" t="s">
        <v>14</v>
      </c>
      <c r="F76" s="44" t="s">
        <v>33</v>
      </c>
      <c r="G76" s="45">
        <f>(G81+G82+G83+G84+G85)/G88</f>
        <v>43.61308819514506</v>
      </c>
      <c r="H76" s="45">
        <f t="shared" ref="H76:J76" si="13">(H81+H82+H83+H84+H85)/H88</f>
        <v>30.690927978294742</v>
      </c>
      <c r="I76" s="45">
        <f t="shared" si="13"/>
        <v>27.656120828723388</v>
      </c>
      <c r="J76" s="45">
        <f t="shared" si="13"/>
        <v>27.797677381275541</v>
      </c>
    </row>
    <row r="77" spans="5:14" x14ac:dyDescent="0.25">
      <c r="E77" s="46" t="s">
        <v>44</v>
      </c>
      <c r="F77" s="47"/>
      <c r="G77" s="178">
        <v>0.8</v>
      </c>
      <c r="H77" s="178">
        <v>0.8</v>
      </c>
      <c r="I77" s="178">
        <v>0.8</v>
      </c>
      <c r="J77" s="178">
        <v>0.8</v>
      </c>
    </row>
    <row r="78" spans="5:14" ht="15.75" thickBot="1" x14ac:dyDescent="0.3">
      <c r="E78" s="48" t="s">
        <v>15</v>
      </c>
      <c r="F78" s="49" t="s">
        <v>33</v>
      </c>
      <c r="G78" s="5">
        <f t="shared" ref="G78:J78" si="14">G76*G77</f>
        <v>34.89047055611605</v>
      </c>
      <c r="H78" s="5">
        <f t="shared" si="14"/>
        <v>24.552742382635795</v>
      </c>
      <c r="I78" s="5">
        <f t="shared" si="14"/>
        <v>22.124896662978713</v>
      </c>
      <c r="J78" s="18">
        <f t="shared" si="14"/>
        <v>22.238141905020434</v>
      </c>
    </row>
    <row r="79" spans="5:14" x14ac:dyDescent="0.25">
      <c r="G79" s="7"/>
      <c r="H79" s="7"/>
      <c r="I79" s="7"/>
      <c r="J79" s="7"/>
    </row>
    <row r="80" spans="5:14" x14ac:dyDescent="0.25">
      <c r="E80" s="50" t="s">
        <v>9</v>
      </c>
      <c r="F80" s="51"/>
      <c r="G80" s="53"/>
      <c r="H80" s="53"/>
      <c r="I80" s="53"/>
      <c r="J80" s="53"/>
    </row>
    <row r="81" spans="5:12" x14ac:dyDescent="0.25">
      <c r="E81" s="54" t="str">
        <f>E57</f>
        <v>Investeringskostnader</v>
      </c>
      <c r="F81" s="8" t="s">
        <v>10</v>
      </c>
      <c r="G81" s="55">
        <f t="shared" ref="G81:J81" si="15">G66*100*1000*G49</f>
        <v>568689957.87185001</v>
      </c>
      <c r="H81" s="55">
        <f t="shared" si="15"/>
        <v>836508898.32438838</v>
      </c>
      <c r="I81" s="55">
        <f t="shared" si="15"/>
        <v>3388041352.433248</v>
      </c>
      <c r="J81" s="55">
        <f t="shared" si="15"/>
        <v>6905710648.9637966</v>
      </c>
    </row>
    <row r="82" spans="5:12" x14ac:dyDescent="0.25">
      <c r="E82" s="56" t="str">
        <f>E67</f>
        <v>Faste driftskostnader</v>
      </c>
      <c r="F82" s="9" t="s">
        <v>10</v>
      </c>
      <c r="G82" s="57">
        <f>-PV($C$8,$C$7,G67*100*1000*G49)</f>
        <v>22939842.437130526</v>
      </c>
      <c r="H82" s="57">
        <f>-PV($C$8,$C$7,H67*100*1000*H49)</f>
        <v>45879684.874261051</v>
      </c>
      <c r="I82" s="57">
        <f>-PV($C$8,$C$7,I67*100*1000*I49)</f>
        <v>172048818.27847895</v>
      </c>
      <c r="J82" s="57">
        <f>-PV($C$8,$C$7,J67*100*1000*J49)</f>
        <v>344097636.5569579</v>
      </c>
    </row>
    <row r="83" spans="5:12" x14ac:dyDescent="0.25">
      <c r="E83" s="56" t="str">
        <f>E75</f>
        <v>Variable kostnader eks brensel</v>
      </c>
      <c r="F83" s="9" t="s">
        <v>10</v>
      </c>
      <c r="G83" s="57">
        <f>-PV($C$8,$C$7,G75*1000*G49*G54)</f>
        <v>34409763.655695789</v>
      </c>
      <c r="H83" s="57">
        <f>-PV($C$8,$C$7,H75*1000*H49*H54)</f>
        <v>68819527.311391577</v>
      </c>
      <c r="I83" s="57">
        <f>-PV($C$8,$C$7,I75*1000*I49*I54)</f>
        <v>298217951.68269682</v>
      </c>
      <c r="J83" s="57">
        <f>-PV($C$8,$C$7,J75*1000*J49*J54)</f>
        <v>550556218.49113262</v>
      </c>
    </row>
    <row r="84" spans="5:12" x14ac:dyDescent="0.25">
      <c r="E84" s="56" t="s">
        <v>87</v>
      </c>
      <c r="F84" s="9" t="s">
        <v>10</v>
      </c>
      <c r="G84" s="57">
        <f>-PV($C$8,$C$7,G74*G68*G49*G54*1000)-PV($C$8,$C$7,G74*G70*G50*G56*1000)</f>
        <v>633522957.30552495</v>
      </c>
      <c r="H84" s="57">
        <f>-PV($C$8,$C$7,H74*H68*H49*H54*1000)-PV($C$8,$C$7,H74*H70*H50*H56*1000)</f>
        <v>822992320.84652853</v>
      </c>
      <c r="I84" s="57">
        <f>-PV($C$8,$C$7,I74*I68*I49*I54*1000)-PV($C$8,$C$7,I74*I70*I50*I56*1000)</f>
        <v>4114961604.2326427</v>
      </c>
      <c r="J84" s="57">
        <f>-PV($C$8,$C$7,J74*J68*J49*J54*1000)-PV($C$8,$C$7,J74*J70*J50*J56*1000)</f>
        <v>8229923208.4652853</v>
      </c>
    </row>
    <row r="85" spans="5:12" x14ac:dyDescent="0.25">
      <c r="E85" s="56" t="s">
        <v>88</v>
      </c>
      <c r="F85" s="9"/>
      <c r="G85" s="57">
        <f>-PV($C$8,$C$7,G74*G69*G49*G55*1000)</f>
        <v>30565046.063232712</v>
      </c>
      <c r="H85" s="57">
        <f>-PV($C$8,$C$7,H74*H69*H49*H55*1000)</f>
        <v>41548642.622130804</v>
      </c>
      <c r="I85" s="57">
        <f>-PV($C$8,$C$7,I74*I69*I49*I55*1000)</f>
        <v>207743213.110654</v>
      </c>
      <c r="J85" s="57">
        <f>-PV($C$8,$C$7,J74*J69*J49*J55*1000)</f>
        <v>415486426.22130799</v>
      </c>
    </row>
    <row r="86" spans="5:12" x14ac:dyDescent="0.25">
      <c r="E86" s="96" t="s">
        <v>59</v>
      </c>
      <c r="F86" s="97" t="s">
        <v>11</v>
      </c>
      <c r="G86" s="58">
        <f>-PV($C$8+$C$10,$C$7,G49*G54*1000)-PV($C$8+$C$10,$C$7,G50*G56*1000)</f>
        <v>25030247.760575015</v>
      </c>
      <c r="H86" s="58">
        <f>-PV($C$8+$C$10,$C$7,H49*H54*1000)-PV($C$8+$C$10,$C$7,H50*H56*1000)</f>
        <v>50060495.52115003</v>
      </c>
      <c r="I86" s="58">
        <f>-PV($C$8+$C$10,$C$7,I49*I54*1000)-PV($C$8+$C$10,$C$7,I50*I56*1000)</f>
        <v>250302477.60575011</v>
      </c>
      <c r="J86" s="58">
        <f>-PV($C$8+$C$10,$C$7,J49*J54*1000)-PV($C$8+$C$10,$C$7,J50*J56*1000)</f>
        <v>500604955.21150023</v>
      </c>
    </row>
    <row r="87" spans="5:12" x14ac:dyDescent="0.25">
      <c r="E87" s="96" t="s">
        <v>86</v>
      </c>
      <c r="F87" s="97"/>
      <c r="G87" s="58">
        <f>-PV($C$8+$C$10,$C$7,G49*G55*1000)</f>
        <v>4550954.1382863652</v>
      </c>
      <c r="H87" s="58">
        <f>-PV($C$8+$C$10,$C$7,H49*H55*1000)</f>
        <v>9101908.2765727304</v>
      </c>
      <c r="I87" s="58">
        <f>-PV($C$8+$C$10,$C$7,I49*I55*1000)</f>
        <v>45509541.382863663</v>
      </c>
      <c r="J87" s="58">
        <f>-PV($C$8+$C$10,$C$7,J49*J55*1000)</f>
        <v>91019082.765727326</v>
      </c>
    </row>
    <row r="88" spans="5:12" x14ac:dyDescent="0.25">
      <c r="E88" s="98" t="s">
        <v>60</v>
      </c>
      <c r="F88" s="4" t="s">
        <v>2</v>
      </c>
      <c r="G88" s="59">
        <f t="shared" ref="G88:J88" si="16">SUM(G86:G87)</f>
        <v>29581201.898861378</v>
      </c>
      <c r="H88" s="59">
        <f t="shared" si="16"/>
        <v>59162403.797722757</v>
      </c>
      <c r="I88" s="59">
        <f t="shared" si="16"/>
        <v>295812018.98861378</v>
      </c>
      <c r="J88" s="59">
        <f t="shared" si="16"/>
        <v>591624037.97722757</v>
      </c>
    </row>
    <row r="89" spans="5:12" ht="15.75" thickBot="1" x14ac:dyDescent="0.3"/>
    <row r="90" spans="5:12" ht="15.75" thickBot="1" x14ac:dyDescent="0.3">
      <c r="E90" s="253" t="s">
        <v>96</v>
      </c>
      <c r="F90" s="254"/>
      <c r="G90" s="254"/>
      <c r="H90" s="254"/>
      <c r="I90" s="254"/>
      <c r="J90" s="255"/>
      <c r="K90" s="14"/>
      <c r="L90" s="14"/>
    </row>
    <row r="91" spans="5:12" x14ac:dyDescent="0.25">
      <c r="E91" s="83"/>
      <c r="F91" s="84" t="s">
        <v>3</v>
      </c>
      <c r="G91" s="86"/>
      <c r="H91" s="85"/>
      <c r="I91" s="85"/>
      <c r="J91" s="88"/>
      <c r="K91" s="14"/>
      <c r="L91" s="14"/>
    </row>
    <row r="92" spans="5:12" x14ac:dyDescent="0.25">
      <c r="E92" s="23" t="s">
        <v>82</v>
      </c>
      <c r="F92" s="24" t="s">
        <v>23</v>
      </c>
      <c r="G92" s="150">
        <v>0.5</v>
      </c>
      <c r="H92" s="150">
        <v>1</v>
      </c>
      <c r="I92" s="150">
        <v>5</v>
      </c>
      <c r="J92" s="152">
        <v>10</v>
      </c>
      <c r="K92" s="17" t="s">
        <v>13</v>
      </c>
      <c r="L92" s="17" t="s">
        <v>12</v>
      </c>
    </row>
    <row r="93" spans="5:12" x14ac:dyDescent="0.25">
      <c r="E93" s="147" t="s">
        <v>76</v>
      </c>
      <c r="F93" s="161"/>
      <c r="G93" s="140">
        <v>1</v>
      </c>
      <c r="H93" s="140">
        <v>2</v>
      </c>
      <c r="I93" s="140">
        <v>10</v>
      </c>
      <c r="J93" s="141">
        <v>20</v>
      </c>
      <c r="K93" s="17"/>
      <c r="L93" s="17"/>
    </row>
    <row r="94" spans="5:12" x14ac:dyDescent="0.25">
      <c r="E94" s="41" t="s">
        <v>58</v>
      </c>
      <c r="F94" s="161"/>
      <c r="G94" s="140">
        <v>2.6</v>
      </c>
      <c r="H94" s="140">
        <v>2.8</v>
      </c>
      <c r="I94" s="140">
        <v>2.8</v>
      </c>
      <c r="J94" s="141">
        <v>2.8</v>
      </c>
      <c r="K94" t="s">
        <v>49</v>
      </c>
    </row>
    <row r="95" spans="5:12" x14ac:dyDescent="0.25">
      <c r="E95" s="29" t="s">
        <v>77</v>
      </c>
      <c r="F95" s="162"/>
      <c r="G95" s="33">
        <v>10</v>
      </c>
      <c r="H95" s="33">
        <v>10</v>
      </c>
      <c r="I95" s="33">
        <v>10</v>
      </c>
      <c r="J95" s="34">
        <v>10</v>
      </c>
    </row>
    <row r="96" spans="5:12" x14ac:dyDescent="0.25">
      <c r="E96" s="165" t="s">
        <v>78</v>
      </c>
      <c r="F96" s="163"/>
      <c r="G96" s="148">
        <v>0.98</v>
      </c>
      <c r="H96" s="149">
        <v>0.98</v>
      </c>
      <c r="I96" s="149">
        <v>0.98</v>
      </c>
      <c r="J96" s="166">
        <v>0.98</v>
      </c>
    </row>
    <row r="97" spans="5:14" x14ac:dyDescent="0.25">
      <c r="E97" s="29" t="s">
        <v>79</v>
      </c>
      <c r="F97" s="75" t="s">
        <v>4</v>
      </c>
      <c r="G97" s="142">
        <v>4000</v>
      </c>
      <c r="H97" s="142">
        <v>4000</v>
      </c>
      <c r="I97" s="142">
        <v>4000</v>
      </c>
      <c r="J97" s="142">
        <v>4000</v>
      </c>
      <c r="K97" t="s">
        <v>45</v>
      </c>
    </row>
    <row r="98" spans="5:14" x14ac:dyDescent="0.25">
      <c r="E98" s="29" t="s">
        <v>80</v>
      </c>
      <c r="F98" s="162"/>
      <c r="G98" s="144">
        <v>800</v>
      </c>
      <c r="H98" s="144">
        <v>800</v>
      </c>
      <c r="I98" s="144">
        <v>800</v>
      </c>
      <c r="J98" s="154">
        <v>800</v>
      </c>
    </row>
    <row r="99" spans="5:14" x14ac:dyDescent="0.25">
      <c r="E99" s="165" t="s">
        <v>81</v>
      </c>
      <c r="F99" s="163"/>
      <c r="G99" s="146">
        <v>100</v>
      </c>
      <c r="H99" s="146">
        <v>100</v>
      </c>
      <c r="I99" s="146">
        <v>100</v>
      </c>
      <c r="J99" s="146">
        <v>100</v>
      </c>
    </row>
    <row r="100" spans="5:14" x14ac:dyDescent="0.25">
      <c r="E100" s="29" t="s">
        <v>5</v>
      </c>
      <c r="F100" s="91"/>
      <c r="G100" s="92"/>
      <c r="H100" s="75"/>
      <c r="I100" s="75"/>
      <c r="J100" s="78"/>
      <c r="M100" s="100"/>
      <c r="N100" s="100"/>
    </row>
    <row r="101" spans="5:14" x14ac:dyDescent="0.25">
      <c r="E101" s="30" t="s">
        <v>40</v>
      </c>
      <c r="F101" s="164" t="s">
        <v>41</v>
      </c>
      <c r="G101" s="208">
        <v>2000000</v>
      </c>
      <c r="H101" s="142">
        <v>4000000</v>
      </c>
      <c r="I101" s="142">
        <v>18500000</v>
      </c>
      <c r="J101" s="145">
        <v>35000000</v>
      </c>
      <c r="K101" t="s">
        <v>111</v>
      </c>
    </row>
    <row r="102" spans="5:14" x14ac:dyDescent="0.25">
      <c r="E102" s="30" t="s">
        <v>42</v>
      </c>
      <c r="F102" s="164" t="s">
        <v>43</v>
      </c>
      <c r="G102" s="215">
        <f>(3300*G92*1000)</f>
        <v>1650000</v>
      </c>
      <c r="H102" s="142">
        <f>(2160*H92*1000)</f>
        <v>2160000</v>
      </c>
      <c r="I102" s="142">
        <f>(2013*I92*1000)</f>
        <v>10065000</v>
      </c>
      <c r="J102" s="145">
        <f>(1870*J92*1000)</f>
        <v>18700000</v>
      </c>
      <c r="K102" t="s">
        <v>102</v>
      </c>
    </row>
    <row r="103" spans="5:14" x14ac:dyDescent="0.25">
      <c r="E103" s="30" t="s">
        <v>91</v>
      </c>
      <c r="F103" s="19" t="s">
        <v>29</v>
      </c>
      <c r="G103" s="90">
        <f t="shared" ref="G103:J104" si="17">G101/(G$6*1000)</f>
        <v>4000</v>
      </c>
      <c r="H103" s="74">
        <f t="shared" si="17"/>
        <v>4000</v>
      </c>
      <c r="I103" s="74">
        <f t="shared" si="17"/>
        <v>3700</v>
      </c>
      <c r="J103" s="89">
        <f t="shared" si="17"/>
        <v>3500</v>
      </c>
    </row>
    <row r="104" spans="5:14" x14ac:dyDescent="0.25">
      <c r="E104" s="30" t="s">
        <v>25</v>
      </c>
      <c r="F104" s="1" t="s">
        <v>29</v>
      </c>
      <c r="G104" s="90">
        <f t="shared" si="17"/>
        <v>3300</v>
      </c>
      <c r="H104" s="74">
        <f t="shared" si="17"/>
        <v>2160</v>
      </c>
      <c r="I104" s="74">
        <f t="shared" si="17"/>
        <v>2013</v>
      </c>
      <c r="J104" s="89">
        <f t="shared" si="17"/>
        <v>1870</v>
      </c>
    </row>
    <row r="105" spans="5:14" x14ac:dyDescent="0.25">
      <c r="E105" s="30" t="s">
        <v>93</v>
      </c>
      <c r="F105" s="1"/>
      <c r="G105" s="74">
        <v>4000</v>
      </c>
      <c r="H105" s="74">
        <v>2500</v>
      </c>
      <c r="I105" s="74">
        <v>1500</v>
      </c>
      <c r="J105" s="89">
        <v>2000</v>
      </c>
      <c r="K105" t="s">
        <v>73</v>
      </c>
    </row>
    <row r="106" spans="5:14" x14ac:dyDescent="0.25">
      <c r="E106" s="30" t="s">
        <v>61</v>
      </c>
      <c r="F106" s="1"/>
      <c r="G106" s="74">
        <v>800</v>
      </c>
      <c r="H106" s="74">
        <v>800</v>
      </c>
      <c r="I106" s="74">
        <v>800</v>
      </c>
      <c r="J106" s="89">
        <v>800</v>
      </c>
      <c r="K106" t="s">
        <v>73</v>
      </c>
    </row>
    <row r="107" spans="5:14" x14ac:dyDescent="0.25">
      <c r="E107" s="30" t="s">
        <v>62</v>
      </c>
      <c r="F107" s="1"/>
      <c r="G107" s="179">
        <v>1351</v>
      </c>
      <c r="H107" s="74">
        <v>1242</v>
      </c>
      <c r="I107" s="74">
        <v>911</v>
      </c>
      <c r="J107" s="89">
        <v>690</v>
      </c>
      <c r="K107" t="s">
        <v>73</v>
      </c>
    </row>
    <row r="108" spans="5:14" x14ac:dyDescent="0.25">
      <c r="E108" s="3" t="s">
        <v>6</v>
      </c>
      <c r="F108" s="19" t="s">
        <v>29</v>
      </c>
      <c r="G108" s="35">
        <f>SUM(G103:G104)*(((1+($C$8))*((1+$C$8)^($C$5)-1))/($C$8*$C$5))-SUM(G103:G104)</f>
        <v>325.28676985801849</v>
      </c>
      <c r="H108" s="35">
        <f>SUM(H103:H104)*(((1+($C$8))*((1+$C$8)^($C$5)-1))/($C$8*$C$5))-SUM(H103:H104)</f>
        <v>274.48856196238285</v>
      </c>
      <c r="I108" s="35">
        <f>SUM(I103:I104)*(((1+($C$8))*((1+$C$8)^($C$5)-1))/($C$8*$C$5))-SUM(I103:I104)</f>
        <v>254.57031728751554</v>
      </c>
      <c r="J108" s="36">
        <f>SUM(J103:J104)*(((1+($C$8))*((1+$C$8)^($C$5)-1))/($C$8*$C$5))-SUM(J103:J104)</f>
        <v>239.28629508733684</v>
      </c>
    </row>
    <row r="109" spans="5:14" x14ac:dyDescent="0.25">
      <c r="E109" s="28" t="s">
        <v>7</v>
      </c>
      <c r="F109" s="2" t="s">
        <v>30</v>
      </c>
      <c r="G109" s="37">
        <f t="shared" ref="G109:J109" si="18">SUM(G103:G108)</f>
        <v>13776.286769858019</v>
      </c>
      <c r="H109" s="37">
        <f t="shared" si="18"/>
        <v>10976.488561962382</v>
      </c>
      <c r="I109" s="37">
        <f t="shared" si="18"/>
        <v>9178.5703172875146</v>
      </c>
      <c r="J109" s="38">
        <f t="shared" si="18"/>
        <v>9099.2862950873368</v>
      </c>
    </row>
    <row r="110" spans="5:14" x14ac:dyDescent="0.25">
      <c r="E110" s="28" t="s">
        <v>0</v>
      </c>
      <c r="F110" s="2" t="s">
        <v>31</v>
      </c>
      <c r="G110" s="63">
        <v>40</v>
      </c>
      <c r="H110" s="63">
        <v>40</v>
      </c>
      <c r="I110" s="63">
        <v>30</v>
      </c>
      <c r="J110" s="65">
        <v>30</v>
      </c>
      <c r="K110" t="s">
        <v>109</v>
      </c>
    </row>
    <row r="111" spans="5:14" x14ac:dyDescent="0.25">
      <c r="E111" s="30" t="s">
        <v>83</v>
      </c>
      <c r="F111" s="1" t="s">
        <v>34</v>
      </c>
      <c r="G111" s="39">
        <f t="shared" ref="G111:J113" si="19">1/G94</f>
        <v>0.38461538461538458</v>
      </c>
      <c r="H111" s="39">
        <f t="shared" si="19"/>
        <v>0.35714285714285715</v>
      </c>
      <c r="I111" s="39">
        <f t="shared" si="19"/>
        <v>0.35714285714285715</v>
      </c>
      <c r="J111" s="40">
        <f t="shared" si="19"/>
        <v>0.35714285714285715</v>
      </c>
    </row>
    <row r="112" spans="5:14" x14ac:dyDescent="0.25">
      <c r="E112" s="30" t="s">
        <v>84</v>
      </c>
      <c r="F112" s="1"/>
      <c r="G112" s="153">
        <f t="shared" si="19"/>
        <v>0.1</v>
      </c>
      <c r="H112" s="153">
        <f t="shared" si="19"/>
        <v>0.1</v>
      </c>
      <c r="I112" s="153">
        <f t="shared" si="19"/>
        <v>0.1</v>
      </c>
      <c r="J112" s="168">
        <f t="shared" si="19"/>
        <v>0.1</v>
      </c>
    </row>
    <row r="113" spans="5:11" x14ac:dyDescent="0.25">
      <c r="E113" s="30" t="s">
        <v>85</v>
      </c>
      <c r="F113" s="1"/>
      <c r="G113" s="153">
        <f t="shared" si="19"/>
        <v>1.0204081632653061</v>
      </c>
      <c r="H113" s="153">
        <f t="shared" si="19"/>
        <v>1.0204081632653061</v>
      </c>
      <c r="I113" s="153">
        <f t="shared" si="19"/>
        <v>1.0204081632653061</v>
      </c>
      <c r="J113" s="168">
        <f t="shared" si="19"/>
        <v>1.0204081632653061</v>
      </c>
    </row>
    <row r="114" spans="5:11" x14ac:dyDescent="0.25">
      <c r="E114" s="30" t="s">
        <v>26</v>
      </c>
      <c r="F114" s="1" t="s">
        <v>32</v>
      </c>
      <c r="G114" s="79">
        <f>$C$11</f>
        <v>23</v>
      </c>
      <c r="H114" s="79">
        <f>$C$11</f>
        <v>23</v>
      </c>
      <c r="I114" s="79">
        <f>$C$11</f>
        <v>23</v>
      </c>
      <c r="J114" s="80">
        <f>$C$11</f>
        <v>23</v>
      </c>
    </row>
    <row r="115" spans="5:11" x14ac:dyDescent="0.25">
      <c r="E115" s="30" t="s">
        <v>27</v>
      </c>
      <c r="F115" s="1" t="s">
        <v>32</v>
      </c>
      <c r="G115" s="81">
        <f>$C$12</f>
        <v>27.3</v>
      </c>
      <c r="H115" s="79">
        <f>$C$13</f>
        <v>21.8</v>
      </c>
      <c r="I115" s="79">
        <f>$C$13</f>
        <v>21.8</v>
      </c>
      <c r="J115" s="80">
        <f>$C$13</f>
        <v>21.8</v>
      </c>
    </row>
    <row r="116" spans="5:11" x14ac:dyDescent="0.25">
      <c r="E116" s="30" t="s">
        <v>28</v>
      </c>
      <c r="F116" s="1" t="s">
        <v>32</v>
      </c>
      <c r="G116" s="81">
        <f>$C$14</f>
        <v>16.32</v>
      </c>
      <c r="H116" s="79">
        <f>$C$15</f>
        <v>0.48</v>
      </c>
      <c r="I116" s="79">
        <f>$C$15</f>
        <v>0.48</v>
      </c>
      <c r="J116" s="80">
        <f>$C$15</f>
        <v>0.48</v>
      </c>
    </row>
    <row r="117" spans="5:11" x14ac:dyDescent="0.25">
      <c r="E117" s="29" t="s">
        <v>89</v>
      </c>
      <c r="F117" s="1" t="s">
        <v>32</v>
      </c>
      <c r="G117" s="66">
        <f t="shared" ref="G117:J117" si="20">(G115+G114+G116)</f>
        <v>66.62</v>
      </c>
      <c r="H117" s="66">
        <f t="shared" si="20"/>
        <v>45.279999999999994</v>
      </c>
      <c r="I117" s="66">
        <f t="shared" si="20"/>
        <v>45.279999999999994</v>
      </c>
      <c r="J117" s="67">
        <f t="shared" si="20"/>
        <v>45.279999999999994</v>
      </c>
    </row>
    <row r="118" spans="5:11" ht="15.75" thickBot="1" x14ac:dyDescent="0.3">
      <c r="E118" s="41" t="s">
        <v>8</v>
      </c>
      <c r="F118" s="42" t="s">
        <v>33</v>
      </c>
      <c r="G118" s="156">
        <v>1.5</v>
      </c>
      <c r="H118" s="156">
        <v>1.5</v>
      </c>
      <c r="I118" s="156">
        <v>1.3</v>
      </c>
      <c r="J118" s="176">
        <v>1.2</v>
      </c>
      <c r="K118" t="s">
        <v>109</v>
      </c>
    </row>
    <row r="119" spans="5:11" x14ac:dyDescent="0.25">
      <c r="E119" s="43" t="s">
        <v>14</v>
      </c>
      <c r="F119" s="44" t="s">
        <v>33</v>
      </c>
      <c r="G119" s="45">
        <f>(G124+G125+G126+G127+G128)/G131</f>
        <v>50.714302116724475</v>
      </c>
      <c r="H119" s="45">
        <f t="shared" ref="H119:J119" si="21">(H124+H125+H126+H127+H128)/H131</f>
        <v>36.947473065588916</v>
      </c>
      <c r="I119" s="45">
        <f t="shared" si="21"/>
        <v>33.424032897740901</v>
      </c>
      <c r="J119" s="45">
        <f t="shared" si="21"/>
        <v>33.20401098010133</v>
      </c>
    </row>
    <row r="120" spans="5:11" x14ac:dyDescent="0.25">
      <c r="E120" s="46" t="s">
        <v>44</v>
      </c>
      <c r="F120" s="47"/>
      <c r="G120" s="178">
        <v>0.8</v>
      </c>
      <c r="H120" s="178">
        <v>0.8</v>
      </c>
      <c r="I120" s="178">
        <v>0.8</v>
      </c>
      <c r="J120" s="178">
        <v>0.8</v>
      </c>
    </row>
    <row r="121" spans="5:11" ht="15.75" thickBot="1" x14ac:dyDescent="0.3">
      <c r="E121" s="48" t="s">
        <v>15</v>
      </c>
      <c r="F121" s="49" t="s">
        <v>33</v>
      </c>
      <c r="G121" s="5">
        <f t="shared" ref="G121:J121" si="22">G119*G120</f>
        <v>40.571441693379583</v>
      </c>
      <c r="H121" s="5">
        <f t="shared" si="22"/>
        <v>29.557978452471133</v>
      </c>
      <c r="I121" s="5">
        <f t="shared" si="22"/>
        <v>26.739226318192721</v>
      </c>
      <c r="J121" s="18">
        <f t="shared" si="22"/>
        <v>26.563208784081066</v>
      </c>
    </row>
    <row r="122" spans="5:11" x14ac:dyDescent="0.25">
      <c r="G122" s="7"/>
      <c r="H122" s="7"/>
      <c r="I122" s="7"/>
      <c r="J122" s="7"/>
    </row>
    <row r="123" spans="5:11" x14ac:dyDescent="0.25">
      <c r="E123" s="50" t="s">
        <v>9</v>
      </c>
      <c r="F123" s="51"/>
      <c r="G123" s="53"/>
      <c r="H123" s="53"/>
      <c r="I123" s="53"/>
      <c r="J123" s="53"/>
    </row>
    <row r="124" spans="5:11" x14ac:dyDescent="0.25">
      <c r="E124" s="54" t="str">
        <f>E100</f>
        <v>Investeringskostnader</v>
      </c>
      <c r="F124" s="8" t="s">
        <v>10</v>
      </c>
      <c r="G124" s="55">
        <f t="shared" ref="G124:J124" si="23">G109*100*1000*G92</f>
        <v>688814338.49290097</v>
      </c>
      <c r="H124" s="55">
        <f t="shared" si="23"/>
        <v>1097648856.1962383</v>
      </c>
      <c r="I124" s="55">
        <f t="shared" si="23"/>
        <v>4589285158.6437578</v>
      </c>
      <c r="J124" s="55">
        <f t="shared" si="23"/>
        <v>9099286295.0873356</v>
      </c>
    </row>
    <row r="125" spans="5:11" x14ac:dyDescent="0.25">
      <c r="E125" s="56" t="str">
        <f>E110</f>
        <v>Faste driftskostnader</v>
      </c>
      <c r="F125" s="9" t="s">
        <v>10</v>
      </c>
      <c r="G125" s="57">
        <f>-PV($C$8,$C$7,G110*100*1000*G92)</f>
        <v>22939842.437130526</v>
      </c>
      <c r="H125" s="57">
        <f>-PV($C$8,$C$7,H110*100*1000*H92)</f>
        <v>45879684.874261051</v>
      </c>
      <c r="I125" s="57">
        <f>-PV($C$8,$C$7,I110*100*1000*I92)</f>
        <v>172048818.27847895</v>
      </c>
      <c r="J125" s="57">
        <f>-PV($C$8,$C$7,J110*100*1000*J92)</f>
        <v>344097636.5569579</v>
      </c>
    </row>
    <row r="126" spans="5:11" x14ac:dyDescent="0.25">
      <c r="E126" s="56" t="str">
        <f>E118</f>
        <v>Variable kostnader eks brensel</v>
      </c>
      <c r="F126" s="9" t="s">
        <v>10</v>
      </c>
      <c r="G126" s="57">
        <f>-PV($C$8,$C$7,G118*1000*G92*G97)</f>
        <v>34409763.655695789</v>
      </c>
      <c r="H126" s="57">
        <f>-PV($C$8,$C$7,H118*1000*H92*H97)</f>
        <v>68819527.311391577</v>
      </c>
      <c r="I126" s="57">
        <f>-PV($C$8,$C$7,I118*1000*I92*I97)</f>
        <v>298217951.68269682</v>
      </c>
      <c r="J126" s="57">
        <f>-PV($C$8,$C$7,J118*1000*J92*J97)</f>
        <v>550556218.49113262</v>
      </c>
    </row>
    <row r="127" spans="5:11" x14ac:dyDescent="0.25">
      <c r="E127" s="56" t="s">
        <v>87</v>
      </c>
      <c r="F127" s="9" t="s">
        <v>10</v>
      </c>
      <c r="G127" s="57">
        <f>-PV($C$8,$C$7,G117*G111*G92*G97*1000)-PV($C$8,$C$7,G117*G113*G93*G99*1000)</f>
        <v>665761403.65361679</v>
      </c>
      <c r="H127" s="57">
        <f>-PV($C$8,$C$7,H117*H111*H92*H97*1000)-PV($C$8,$C$7,H117*H113*H93*H99*1000)</f>
        <v>847931482.08430207</v>
      </c>
      <c r="I127" s="57">
        <f>-PV($C$8,$C$7,I117*I111*I92*I97*1000)-PV($C$8,$C$7,I117*I113*I93*I99*1000)</f>
        <v>4239657410.4215107</v>
      </c>
      <c r="J127" s="57">
        <f>-PV($C$8,$C$7,J117*J111*J92*J97*1000)-PV($C$8,$C$7,J117*J113*J93*J99*1000)</f>
        <v>8479314820.8430214</v>
      </c>
    </row>
    <row r="128" spans="5:11" x14ac:dyDescent="0.25">
      <c r="E128" s="56" t="s">
        <v>88</v>
      </c>
      <c r="F128" s="9"/>
      <c r="G128" s="57">
        <f>-PV($C$8,$C$7,G117*G112*G92*G98*1000)</f>
        <v>30565046.063232712</v>
      </c>
      <c r="H128" s="57">
        <f>-PV($C$8,$C$7,H117*H112*H92*H98*1000)</f>
        <v>41548642.622130804</v>
      </c>
      <c r="I128" s="57">
        <f>-PV($C$8,$C$7,I117*I112*I92*I98*1000)</f>
        <v>207743213.110654</v>
      </c>
      <c r="J128" s="57">
        <f>-PV($C$8,$C$7,J117*J112*J92*J98*1000)</f>
        <v>415486426.22130799</v>
      </c>
    </row>
    <row r="129" spans="5:10" x14ac:dyDescent="0.25">
      <c r="E129" s="96" t="s">
        <v>59</v>
      </c>
      <c r="F129" s="97" t="s">
        <v>11</v>
      </c>
      <c r="G129" s="58">
        <f>-PV($C$8+$C$10,$C$7,G92*G97*1000)-PV($C$8+$C$10,$C$7,G93*G99*1000)</f>
        <v>23892509.226003423</v>
      </c>
      <c r="H129" s="58">
        <f>-PV($C$8+$C$10,$C$7,H92*H97*1000)-PV($C$8+$C$10,$C$7,H93*H99*1000)</f>
        <v>47785018.452006847</v>
      </c>
      <c r="I129" s="58">
        <f>-PV($C$8+$C$10,$C$7,I92*I97*1000)-PV($C$8+$C$10,$C$7,I93*I99*1000)</f>
        <v>238925092.2600342</v>
      </c>
      <c r="J129" s="58">
        <f>-PV($C$8+$C$10,$C$7,J92*J97*1000)-PV($C$8+$C$10,$C$7,J93*J99*1000)</f>
        <v>477850184.52006841</v>
      </c>
    </row>
    <row r="130" spans="5:10" x14ac:dyDescent="0.25">
      <c r="E130" s="96" t="s">
        <v>86</v>
      </c>
      <c r="F130" s="97"/>
      <c r="G130" s="58">
        <f>-PV($C$8+$C$10,$C$7,G92*G98*1000)</f>
        <v>4550954.1382863652</v>
      </c>
      <c r="H130" s="58">
        <f>-PV($C$8+$C$10,$C$7,H92*H98*1000)</f>
        <v>9101908.2765727304</v>
      </c>
      <c r="I130" s="58">
        <f>-PV($C$8+$C$10,$C$7,I92*I98*1000)</f>
        <v>45509541.382863663</v>
      </c>
      <c r="J130" s="58">
        <f>-PV($C$8+$C$10,$C$7,J92*J98*1000)</f>
        <v>91019082.765727326</v>
      </c>
    </row>
    <row r="131" spans="5:10" x14ac:dyDescent="0.25">
      <c r="E131" s="98" t="s">
        <v>60</v>
      </c>
      <c r="F131" s="4" t="s">
        <v>2</v>
      </c>
      <c r="G131" s="59">
        <f t="shared" ref="G131:J131" si="24">SUM(G129:G130)</f>
        <v>28443463.36428979</v>
      </c>
      <c r="H131" s="59">
        <f t="shared" si="24"/>
        <v>56886926.728579581</v>
      </c>
      <c r="I131" s="59">
        <f t="shared" si="24"/>
        <v>284434633.64289784</v>
      </c>
      <c r="J131" s="59">
        <f t="shared" si="24"/>
        <v>568869267.28579569</v>
      </c>
    </row>
  </sheetData>
  <mergeCells count="2">
    <mergeCell ref="E4:J4"/>
    <mergeCell ref="E47:J4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Kostnad 2016 Berg_inkl_kjøling</vt:lpstr>
      <vt:lpstr>Kostnad 2016 Sjøvann_inkl_kjøli</vt:lpstr>
      <vt:lpstr>Kostnad 2016 Grunnvann_inkl_kjø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2017-03-17T15:21:49Z</dcterms:modified>
</cp:coreProperties>
</file>